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nu-my.sharepoint.com/personal/gristy_lehtna_parnu_ee/Documents/Desktop/"/>
    </mc:Choice>
  </mc:AlternateContent>
  <xr:revisionPtr revIDLastSave="0" documentId="8_{194073A4-BC64-4363-860C-E23FB4AB7F74}" xr6:coauthVersionLast="47" xr6:coauthVersionMax="47" xr10:uidLastSave="{00000000-0000-0000-0000-000000000000}"/>
  <bookViews>
    <workbookView xWindow="1170" yWindow="1170" windowWidth="14610" windowHeight="12735" tabRatio="871" activeTab="4" xr2:uid="{00000000-000D-0000-FFFF-FFFF00000000}"/>
  </bookViews>
  <sheets>
    <sheet name="Teine 40" sheetId="5" r:id="rId1"/>
    <sheet name="Teine 41" sheetId="3" r:id="rId2"/>
    <sheet name="Teine 42" sheetId="4" r:id="rId3"/>
    <sheet name="Teine 44" sheetId="15" r:id="rId4"/>
    <sheet name="Esimene 40" sheetId="6" r:id="rId5"/>
    <sheet name="Esimene 41" sheetId="7" r:id="rId6"/>
    <sheet name="Esimene 42" sheetId="8" r:id="rId7"/>
    <sheet name="Esimene 44" sheetId="16" r:id="rId8"/>
    <sheet name="Kolmas 40" sheetId="9" r:id="rId9"/>
    <sheet name="Kolmas 41" sheetId="10" r:id="rId10"/>
    <sheet name="Kolmas 42" sheetId="11" r:id="rId11"/>
    <sheet name="Kolmas 44" sheetId="17" r:id="rId12"/>
    <sheet name="Güm 40" sheetId="22" r:id="rId13"/>
    <sheet name="Güm 41" sheetId="23" r:id="rId14"/>
    <sheet name="Güm 42" sheetId="24" r:id="rId15"/>
    <sheet name="Güm 44" sheetId="25" r:id="rId16"/>
  </sheets>
  <externalReferences>
    <externalReference r:id="rId17"/>
  </externalReferences>
  <definedNames>
    <definedName name="_xlnm.Print_Area" localSheetId="4">'Esimene 40'!$A$1:$G$70</definedName>
    <definedName name="_xlnm.Print_Area" localSheetId="5">'Esimene 41'!$A$1:$G$70</definedName>
    <definedName name="_xlnm.Print_Area" localSheetId="6">'Esimene 42'!$A$1:$G$71</definedName>
    <definedName name="_xlnm.Print_Area" localSheetId="7">'Esimene 44'!$A$2:$G$71</definedName>
    <definedName name="_xlnm.Print_Area" localSheetId="12">'Güm 40'!$A$1:$G$62</definedName>
    <definedName name="_xlnm.Print_Area" localSheetId="13">'Güm 41'!$A$1:$G$70</definedName>
    <definedName name="_xlnm.Print_Area" localSheetId="14">'Güm 42'!$A$1:$G$71</definedName>
    <definedName name="_xlnm.Print_Area" localSheetId="15">'Güm 44'!$A$1:$G$71</definedName>
    <definedName name="_xlnm.Print_Area" localSheetId="9">'Kolmas 41'!$A$1:$G$70</definedName>
    <definedName name="_xlnm.Print_Area" localSheetId="10">'Kolmas 42'!$A$1:$G$71</definedName>
    <definedName name="_xlnm.Print_Area" localSheetId="11">'Kolmas 44'!$A$2:$G$71</definedName>
    <definedName name="_xlnm.Print_Area" localSheetId="0">'Teine 40'!$A$1:$G$70</definedName>
    <definedName name="_xlnm.Print_Area" localSheetId="1">'Teine 41'!$A$1:$G$70</definedName>
    <definedName name="_xlnm.Print_Area" localSheetId="2">'Teine 42'!$A$2:$G$71</definedName>
    <definedName name="_xlnm.Print_Area" localSheetId="3">'Teine 44'!$A$1:$G$71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25" l="1"/>
  <c r="G56" i="25"/>
  <c r="G57" i="25"/>
  <c r="G58" i="25"/>
  <c r="G59" i="25"/>
  <c r="G60" i="25"/>
  <c r="G61" i="25"/>
  <c r="G62" i="25"/>
  <c r="G64" i="25"/>
  <c r="G65" i="25"/>
  <c r="F55" i="25"/>
  <c r="F56" i="25"/>
  <c r="F57" i="25"/>
  <c r="F58" i="25"/>
  <c r="F59" i="25"/>
  <c r="F60" i="25"/>
  <c r="F61" i="25"/>
  <c r="F62" i="25"/>
  <c r="F64" i="25"/>
  <c r="F65" i="25"/>
  <c r="F66" i="25"/>
  <c r="E55" i="25"/>
  <c r="E56" i="25"/>
  <c r="E57" i="25"/>
  <c r="E58" i="25"/>
  <c r="E59" i="25"/>
  <c r="E60" i="25"/>
  <c r="E61" i="25"/>
  <c r="E62" i="25"/>
  <c r="E64" i="25"/>
  <c r="E65" i="25"/>
  <c r="E66" i="25"/>
  <c r="D55" i="25"/>
  <c r="D56" i="25"/>
  <c r="D57" i="25"/>
  <c r="D58" i="25"/>
  <c r="D59" i="25"/>
  <c r="D60" i="25"/>
  <c r="D61" i="25"/>
  <c r="D62" i="25"/>
  <c r="D64" i="25"/>
  <c r="D65" i="25"/>
  <c r="B55" i="25"/>
  <c r="B56" i="25"/>
  <c r="B57" i="25"/>
  <c r="B58" i="25"/>
  <c r="B59" i="25"/>
  <c r="B60" i="25"/>
  <c r="B61" i="25"/>
  <c r="B62" i="25"/>
  <c r="B63" i="25"/>
  <c r="B64" i="25"/>
  <c r="E47" i="25"/>
  <c r="F47" i="25" s="1"/>
  <c r="G47" i="25" s="1"/>
  <c r="E49" i="25"/>
  <c r="F49" i="25" s="1"/>
  <c r="G49" i="25" s="1"/>
  <c r="D46" i="25"/>
  <c r="E46" i="25" s="1"/>
  <c r="F46" i="25" s="1"/>
  <c r="G46" i="25" s="1"/>
  <c r="D47" i="25"/>
  <c r="D49" i="25"/>
  <c r="D50" i="25"/>
  <c r="E50" i="25" s="1"/>
  <c r="F50" i="25" s="1"/>
  <c r="G50" i="25" s="1"/>
  <c r="B49" i="25"/>
  <c r="B46" i="25"/>
  <c r="B47" i="25"/>
  <c r="B48" i="25"/>
  <c r="D30" i="25"/>
  <c r="D31" i="25"/>
  <c r="E31" i="25" s="1"/>
  <c r="F31" i="25" s="1"/>
  <c r="G31" i="25" s="1"/>
  <c r="D32" i="25"/>
  <c r="E32" i="25" s="1"/>
  <c r="F32" i="25" s="1"/>
  <c r="G32" i="25" s="1"/>
  <c r="D33" i="25"/>
  <c r="E33" i="25" s="1"/>
  <c r="F33" i="25" s="1"/>
  <c r="G33" i="25" s="1"/>
  <c r="D34" i="25"/>
  <c r="E34" i="25" s="1"/>
  <c r="F34" i="25" s="1"/>
  <c r="G34" i="25" s="1"/>
  <c r="D35" i="25"/>
  <c r="E35" i="25" s="1"/>
  <c r="F35" i="25" s="1"/>
  <c r="G35" i="25" s="1"/>
  <c r="D36" i="25"/>
  <c r="E36" i="25" s="1"/>
  <c r="F36" i="25" s="1"/>
  <c r="G36" i="25" s="1"/>
  <c r="D37" i="25"/>
  <c r="E37" i="25" s="1"/>
  <c r="F37" i="25" s="1"/>
  <c r="G37" i="25" s="1"/>
  <c r="D38" i="25"/>
  <c r="E38" i="25" s="1"/>
  <c r="F38" i="25" s="1"/>
  <c r="G38" i="25" s="1"/>
  <c r="B30" i="25"/>
  <c r="B31" i="25"/>
  <c r="B32" i="25"/>
  <c r="B33" i="25"/>
  <c r="B34" i="25"/>
  <c r="B35" i="25"/>
  <c r="B36" i="25"/>
  <c r="B37" i="25"/>
  <c r="D20" i="25"/>
  <c r="E20" i="25" s="1"/>
  <c r="F20" i="25" s="1"/>
  <c r="G20" i="25" s="1"/>
  <c r="D21" i="25"/>
  <c r="E21" i="25" s="1"/>
  <c r="F21" i="25" s="1"/>
  <c r="G21" i="25" s="1"/>
  <c r="D22" i="25"/>
  <c r="E22" i="25" s="1"/>
  <c r="F22" i="25" s="1"/>
  <c r="G22" i="25" s="1"/>
  <c r="B24" i="25"/>
  <c r="B20" i="25"/>
  <c r="B21" i="25"/>
  <c r="B22" i="25"/>
  <c r="B23" i="25"/>
  <c r="D5" i="25"/>
  <c r="E5" i="25" s="1"/>
  <c r="F5" i="25" s="1"/>
  <c r="G5" i="25" s="1"/>
  <c r="D6" i="25"/>
  <c r="E6" i="25" s="1"/>
  <c r="F6" i="25" s="1"/>
  <c r="G6" i="25" s="1"/>
  <c r="D7" i="25"/>
  <c r="E7" i="25" s="1"/>
  <c r="F7" i="25" s="1"/>
  <c r="G7" i="25" s="1"/>
  <c r="D8" i="25"/>
  <c r="E8" i="25" s="1"/>
  <c r="F8" i="25" s="1"/>
  <c r="G8" i="25" s="1"/>
  <c r="D9" i="25"/>
  <c r="E9" i="25" s="1"/>
  <c r="F9" i="25" s="1"/>
  <c r="G9" i="25" s="1"/>
  <c r="D10" i="25"/>
  <c r="E10" i="25" s="1"/>
  <c r="F10" i="25" s="1"/>
  <c r="G10" i="25" s="1"/>
  <c r="D11" i="25"/>
  <c r="E11" i="25" s="1"/>
  <c r="F11" i="25" s="1"/>
  <c r="G11" i="25" s="1"/>
  <c r="D12" i="25"/>
  <c r="E12" i="25" s="1"/>
  <c r="F12" i="25" s="1"/>
  <c r="G12" i="25" s="1"/>
  <c r="B5" i="25"/>
  <c r="B6" i="25"/>
  <c r="B7" i="25"/>
  <c r="B8" i="25"/>
  <c r="B9" i="25"/>
  <c r="B10" i="25"/>
  <c r="B11" i="25"/>
  <c r="G55" i="24"/>
  <c r="G59" i="24"/>
  <c r="G60" i="24"/>
  <c r="G61" i="24"/>
  <c r="G64" i="24"/>
  <c r="G65" i="24"/>
  <c r="F55" i="24"/>
  <c r="F58" i="24"/>
  <c r="G58" i="24" s="1"/>
  <c r="F59" i="24"/>
  <c r="F60" i="24"/>
  <c r="F61" i="24"/>
  <c r="F64" i="24"/>
  <c r="F65" i="24"/>
  <c r="E55" i="24"/>
  <c r="E58" i="24"/>
  <c r="E59" i="24"/>
  <c r="E60" i="24"/>
  <c r="E61" i="24"/>
  <c r="E64" i="24"/>
  <c r="E65" i="24"/>
  <c r="D55" i="24"/>
  <c r="D56" i="24"/>
  <c r="E56" i="24" s="1"/>
  <c r="F56" i="24" s="1"/>
  <c r="G56" i="24" s="1"/>
  <c r="D57" i="24"/>
  <c r="E57" i="24" s="1"/>
  <c r="F57" i="24" s="1"/>
  <c r="G57" i="24" s="1"/>
  <c r="D58" i="24"/>
  <c r="D59" i="24"/>
  <c r="D60" i="24"/>
  <c r="D61" i="24"/>
  <c r="D62" i="24"/>
  <c r="E62" i="24" s="1"/>
  <c r="F62" i="24" s="1"/>
  <c r="G62" i="24" s="1"/>
  <c r="D64" i="24"/>
  <c r="D65" i="24"/>
  <c r="D66" i="24"/>
  <c r="B61" i="24"/>
  <c r="B55" i="24"/>
  <c r="B56" i="24"/>
  <c r="B57" i="24"/>
  <c r="B58" i="24"/>
  <c r="B59" i="24"/>
  <c r="B60" i="24"/>
  <c r="D45" i="24"/>
  <c r="E45" i="24" s="1"/>
  <c r="F45" i="24" s="1"/>
  <c r="G45" i="24" s="1"/>
  <c r="D46" i="24"/>
  <c r="E46" i="24" s="1"/>
  <c r="F46" i="24" s="1"/>
  <c r="G46" i="24" s="1"/>
  <c r="D47" i="24"/>
  <c r="E47" i="24" s="1"/>
  <c r="F47" i="24" s="1"/>
  <c r="G47" i="24" s="1"/>
  <c r="D49" i="24"/>
  <c r="E49" i="24" s="1"/>
  <c r="F49" i="24" s="1"/>
  <c r="G49" i="24" s="1"/>
  <c r="B45" i="24"/>
  <c r="B46" i="24"/>
  <c r="B47" i="24"/>
  <c r="D30" i="24"/>
  <c r="E30" i="24" s="1"/>
  <c r="D31" i="24"/>
  <c r="E31" i="24" s="1"/>
  <c r="F31" i="24" s="1"/>
  <c r="G31" i="24" s="1"/>
  <c r="D32" i="24"/>
  <c r="E32" i="24" s="1"/>
  <c r="F32" i="24" s="1"/>
  <c r="G32" i="24" s="1"/>
  <c r="D33" i="24"/>
  <c r="E33" i="24" s="1"/>
  <c r="F33" i="24" s="1"/>
  <c r="G33" i="24" s="1"/>
  <c r="D34" i="24"/>
  <c r="E34" i="24" s="1"/>
  <c r="F34" i="24" s="1"/>
  <c r="G34" i="24" s="1"/>
  <c r="D35" i="24"/>
  <c r="E35" i="24" s="1"/>
  <c r="F35" i="24" s="1"/>
  <c r="G35" i="24" s="1"/>
  <c r="D36" i="24"/>
  <c r="E36" i="24" s="1"/>
  <c r="F36" i="24" s="1"/>
  <c r="G36" i="24" s="1"/>
  <c r="D37" i="24"/>
  <c r="E37" i="24" s="1"/>
  <c r="F37" i="24" s="1"/>
  <c r="G37" i="24" s="1"/>
  <c r="B30" i="24"/>
  <c r="B31" i="24"/>
  <c r="B32" i="24"/>
  <c r="B33" i="24"/>
  <c r="B34" i="24"/>
  <c r="B35" i="24"/>
  <c r="B36" i="24"/>
  <c r="D20" i="24"/>
  <c r="E20" i="24" s="1"/>
  <c r="F20" i="24" s="1"/>
  <c r="G20" i="24" s="1"/>
  <c r="D21" i="24"/>
  <c r="E21" i="24" s="1"/>
  <c r="F21" i="24" s="1"/>
  <c r="G21" i="24" s="1"/>
  <c r="D22" i="24"/>
  <c r="E22" i="24" s="1"/>
  <c r="F22" i="24" s="1"/>
  <c r="G22" i="24" s="1"/>
  <c r="B20" i="24"/>
  <c r="B21" i="24"/>
  <c r="D5" i="24"/>
  <c r="E5" i="24" s="1"/>
  <c r="F5" i="24" s="1"/>
  <c r="G5" i="24" s="1"/>
  <c r="D6" i="24"/>
  <c r="E6" i="24" s="1"/>
  <c r="F6" i="24" s="1"/>
  <c r="G6" i="24" s="1"/>
  <c r="D7" i="24"/>
  <c r="E7" i="24" s="1"/>
  <c r="F7" i="24" s="1"/>
  <c r="G7" i="24" s="1"/>
  <c r="D8" i="24"/>
  <c r="E8" i="24" s="1"/>
  <c r="F8" i="24" s="1"/>
  <c r="G8" i="24" s="1"/>
  <c r="D9" i="24"/>
  <c r="E9" i="24" s="1"/>
  <c r="F9" i="24" s="1"/>
  <c r="G9" i="24" s="1"/>
  <c r="D10" i="24"/>
  <c r="E10" i="24" s="1"/>
  <c r="F10" i="24" s="1"/>
  <c r="G10" i="24" s="1"/>
  <c r="D11" i="24"/>
  <c r="E11" i="24" s="1"/>
  <c r="F11" i="24" s="1"/>
  <c r="G11" i="24" s="1"/>
  <c r="B5" i="24"/>
  <c r="B6" i="24"/>
  <c r="B7" i="24"/>
  <c r="B8" i="24"/>
  <c r="B9" i="24"/>
  <c r="B10" i="24"/>
  <c r="B11" i="24"/>
  <c r="B12" i="24"/>
  <c r="E42" i="23"/>
  <c r="F42" i="23"/>
  <c r="G42" i="23"/>
  <c r="A2" i="24"/>
  <c r="B4" i="24"/>
  <c r="D4" i="24"/>
  <c r="E4" i="24" s="1"/>
  <c r="D12" i="24"/>
  <c r="E12" i="24" s="1"/>
  <c r="F12" i="24" s="1"/>
  <c r="G12" i="24" s="1"/>
  <c r="B14" i="24"/>
  <c r="D14" i="24"/>
  <c r="E14" i="24" s="1"/>
  <c r="F14" i="24" s="1"/>
  <c r="G14" i="24" s="1"/>
  <c r="D15" i="24"/>
  <c r="E15" i="24" s="1"/>
  <c r="F15" i="24" s="1"/>
  <c r="B16" i="24"/>
  <c r="D17" i="24"/>
  <c r="E17" i="24"/>
  <c r="F17" i="24"/>
  <c r="G17" i="24"/>
  <c r="B19" i="24"/>
  <c r="D19" i="24"/>
  <c r="E19" i="24" s="1"/>
  <c r="F19" i="24" s="1"/>
  <c r="B22" i="24"/>
  <c r="B24" i="24"/>
  <c r="D24" i="24"/>
  <c r="E24" i="24" s="1"/>
  <c r="F24" i="24" s="1"/>
  <c r="G24" i="24" s="1"/>
  <c r="D25" i="24"/>
  <c r="E25" i="24" s="1"/>
  <c r="F25" i="24" s="1"/>
  <c r="G25" i="24" s="1"/>
  <c r="B26" i="24"/>
  <c r="D27" i="24"/>
  <c r="E27" i="24"/>
  <c r="F27" i="24"/>
  <c r="G27" i="24"/>
  <c r="B29" i="24"/>
  <c r="D29" i="24"/>
  <c r="E29" i="24" s="1"/>
  <c r="B37" i="24"/>
  <c r="B39" i="24"/>
  <c r="D39" i="24"/>
  <c r="E39" i="24" s="1"/>
  <c r="F39" i="24" s="1"/>
  <c r="G39" i="24" s="1"/>
  <c r="D40" i="24"/>
  <c r="E40" i="24" s="1"/>
  <c r="F40" i="24" s="1"/>
  <c r="G40" i="24" s="1"/>
  <c r="D42" i="24"/>
  <c r="E42" i="24"/>
  <c r="F42" i="24"/>
  <c r="G42" i="24"/>
  <c r="B44" i="24"/>
  <c r="D44" i="24"/>
  <c r="E44" i="24" s="1"/>
  <c r="F44" i="24" s="1"/>
  <c r="B49" i="24"/>
  <c r="D50" i="24"/>
  <c r="E50" i="24" s="1"/>
  <c r="F50" i="24" s="1"/>
  <c r="G50" i="24" s="1"/>
  <c r="B51" i="24"/>
  <c r="D52" i="24"/>
  <c r="E52" i="24"/>
  <c r="F52" i="24"/>
  <c r="G52" i="24"/>
  <c r="B54" i="24"/>
  <c r="D54" i="24"/>
  <c r="E54" i="24" s="1"/>
  <c r="B62" i="24"/>
  <c r="B64" i="24"/>
  <c r="B65" i="24"/>
  <c r="B66" i="24"/>
  <c r="E66" i="24"/>
  <c r="F66" i="24" s="1"/>
  <c r="G66" i="24" s="1"/>
  <c r="D68" i="24"/>
  <c r="E68" i="24"/>
  <c r="F68" i="24"/>
  <c r="G68" i="24"/>
  <c r="A2" i="25"/>
  <c r="B4" i="25"/>
  <c r="D4" i="25"/>
  <c r="E4" i="25" s="1"/>
  <c r="B12" i="25"/>
  <c r="B14" i="25"/>
  <c r="D14" i="25"/>
  <c r="E14" i="25" s="1"/>
  <c r="F14" i="25" s="1"/>
  <c r="G14" i="25" s="1"/>
  <c r="D15" i="25"/>
  <c r="E15" i="25" s="1"/>
  <c r="F15" i="25" s="1"/>
  <c r="B16" i="25"/>
  <c r="D17" i="25"/>
  <c r="E17" i="25"/>
  <c r="F17" i="25"/>
  <c r="G17" i="25"/>
  <c r="B19" i="25"/>
  <c r="D19" i="25"/>
  <c r="E19" i="25" s="1"/>
  <c r="F19" i="25" s="1"/>
  <c r="D24" i="25"/>
  <c r="E24" i="25" s="1"/>
  <c r="F24" i="25" s="1"/>
  <c r="G24" i="25" s="1"/>
  <c r="D25" i="25"/>
  <c r="E25" i="25" s="1"/>
  <c r="F25" i="25" s="1"/>
  <c r="G25" i="25" s="1"/>
  <c r="B26" i="25"/>
  <c r="D27" i="25"/>
  <c r="E27" i="25"/>
  <c r="F27" i="25"/>
  <c r="G27" i="25"/>
  <c r="B29" i="25"/>
  <c r="D29" i="25"/>
  <c r="E29" i="25" s="1"/>
  <c r="B38" i="25"/>
  <c r="B40" i="25"/>
  <c r="D40" i="25"/>
  <c r="E40" i="25" s="1"/>
  <c r="F40" i="25" s="1"/>
  <c r="G40" i="25" s="1"/>
  <c r="D41" i="25"/>
  <c r="E41" i="25" s="1"/>
  <c r="F41" i="25" s="1"/>
  <c r="B42" i="25"/>
  <c r="B45" i="25"/>
  <c r="D45" i="25"/>
  <c r="E45" i="25" s="1"/>
  <c r="B51" i="25"/>
  <c r="D52" i="25"/>
  <c r="E52" i="25"/>
  <c r="F52" i="25"/>
  <c r="G52" i="25"/>
  <c r="B54" i="25"/>
  <c r="D54" i="25"/>
  <c r="E54" i="25" s="1"/>
  <c r="B65" i="25"/>
  <c r="D66" i="25"/>
  <c r="D68" i="25"/>
  <c r="E68" i="25"/>
  <c r="F68" i="25"/>
  <c r="G68" i="25"/>
  <c r="D42" i="25" l="1"/>
  <c r="E30" i="25"/>
  <c r="D26" i="25"/>
  <c r="D41" i="24"/>
  <c r="E41" i="24"/>
  <c r="F30" i="24"/>
  <c r="F41" i="24" s="1"/>
  <c r="D67" i="24"/>
  <c r="D51" i="24"/>
  <c r="F29" i="24"/>
  <c r="G19" i="24"/>
  <c r="E67" i="24"/>
  <c r="E26" i="24"/>
  <c r="F4" i="24"/>
  <c r="E16" i="24"/>
  <c r="F54" i="24"/>
  <c r="G44" i="24"/>
  <c r="D26" i="24"/>
  <c r="D16" i="24"/>
  <c r="E51" i="25"/>
  <c r="F45" i="25"/>
  <c r="G19" i="25"/>
  <c r="F26" i="25"/>
  <c r="F54" i="25"/>
  <c r="E67" i="25"/>
  <c r="F29" i="25"/>
  <c r="E16" i="25"/>
  <c r="F4" i="25"/>
  <c r="D16" i="25"/>
  <c r="E26" i="25"/>
  <c r="D67" i="25"/>
  <c r="D51" i="25"/>
  <c r="E42" i="25" l="1"/>
  <c r="E69" i="25" s="1"/>
  <c r="F30" i="25"/>
  <c r="G26" i="25"/>
  <c r="G30" i="24"/>
  <c r="G41" i="24" s="1"/>
  <c r="D69" i="24"/>
  <c r="E51" i="24"/>
  <c r="E69" i="24" s="1"/>
  <c r="G26" i="24"/>
  <c r="F67" i="24"/>
  <c r="G54" i="24"/>
  <c r="G67" i="24" s="1"/>
  <c r="F26" i="24"/>
  <c r="G4" i="24"/>
  <c r="G16" i="24" s="1"/>
  <c r="F16" i="24"/>
  <c r="G29" i="24"/>
  <c r="G54" i="25"/>
  <c r="G67" i="25" s="1"/>
  <c r="F67" i="25"/>
  <c r="D69" i="25"/>
  <c r="F16" i="25"/>
  <c r="G4" i="25"/>
  <c r="G16" i="25" s="1"/>
  <c r="F51" i="25"/>
  <c r="G45" i="25"/>
  <c r="G51" i="25" s="1"/>
  <c r="G29" i="25"/>
  <c r="F42" i="25" l="1"/>
  <c r="F69" i="25" s="1"/>
  <c r="G30" i="25"/>
  <c r="G42" i="25" s="1"/>
  <c r="G69" i="25" s="1"/>
  <c r="G51" i="24"/>
  <c r="G69" i="24" s="1"/>
  <c r="F51" i="24"/>
  <c r="F69" i="24" s="1"/>
  <c r="D56" i="23" l="1"/>
  <c r="E56" i="23" s="1"/>
  <c r="F56" i="23" s="1"/>
  <c r="G56" i="23" s="1"/>
  <c r="D57" i="23"/>
  <c r="D58" i="23"/>
  <c r="E58" i="23" s="1"/>
  <c r="F58" i="23" s="1"/>
  <c r="G58" i="23" s="1"/>
  <c r="D59" i="23"/>
  <c r="D60" i="23"/>
  <c r="D61" i="23"/>
  <c r="E61" i="23" s="1"/>
  <c r="F61" i="23" s="1"/>
  <c r="G61" i="23" s="1"/>
  <c r="D62" i="23"/>
  <c r="D64" i="23"/>
  <c r="E64" i="23" s="1"/>
  <c r="F64" i="23" s="1"/>
  <c r="G64" i="23" s="1"/>
  <c r="D65" i="23"/>
  <c r="B56" i="23"/>
  <c r="B57" i="23"/>
  <c r="B58" i="23"/>
  <c r="B59" i="23"/>
  <c r="B60" i="23"/>
  <c r="B61" i="23"/>
  <c r="B62" i="23"/>
  <c r="B63" i="23"/>
  <c r="B64" i="23"/>
  <c r="F59" i="23"/>
  <c r="G59" i="23" s="1"/>
  <c r="E57" i="23"/>
  <c r="F57" i="23" s="1"/>
  <c r="G57" i="23" s="1"/>
  <c r="E59" i="23"/>
  <c r="E60" i="23"/>
  <c r="F60" i="23" s="1"/>
  <c r="G60" i="23" s="1"/>
  <c r="E62" i="23"/>
  <c r="F62" i="23" s="1"/>
  <c r="G62" i="23" s="1"/>
  <c r="D46" i="23"/>
  <c r="E46" i="23" s="1"/>
  <c r="F46" i="23" s="1"/>
  <c r="G46" i="23" s="1"/>
  <c r="D47" i="23"/>
  <c r="E47" i="23" s="1"/>
  <c r="F47" i="23" s="1"/>
  <c r="G47" i="23" s="1"/>
  <c r="D48" i="23"/>
  <c r="E48" i="23" s="1"/>
  <c r="F48" i="23" s="1"/>
  <c r="G48" i="23" s="1"/>
  <c r="B46" i="23"/>
  <c r="B47" i="23"/>
  <c r="B48" i="23"/>
  <c r="B49" i="23"/>
  <c r="B50" i="23"/>
  <c r="D30" i="23"/>
  <c r="E30" i="23" s="1"/>
  <c r="F30" i="23" s="1"/>
  <c r="G30" i="23" s="1"/>
  <c r="D31" i="23"/>
  <c r="E31" i="23" s="1"/>
  <c r="F31" i="23" s="1"/>
  <c r="G31" i="23" s="1"/>
  <c r="D32" i="23"/>
  <c r="E32" i="23" s="1"/>
  <c r="F32" i="23" s="1"/>
  <c r="G32" i="23" s="1"/>
  <c r="D33" i="23"/>
  <c r="E33" i="23" s="1"/>
  <c r="F33" i="23" s="1"/>
  <c r="G33" i="23" s="1"/>
  <c r="D34" i="23"/>
  <c r="E34" i="23" s="1"/>
  <c r="F34" i="23" s="1"/>
  <c r="G34" i="23" s="1"/>
  <c r="D35" i="23"/>
  <c r="E35" i="23" s="1"/>
  <c r="F35" i="23" s="1"/>
  <c r="G35" i="23" s="1"/>
  <c r="D36" i="23"/>
  <c r="E36" i="23" s="1"/>
  <c r="F36" i="23" s="1"/>
  <c r="G36" i="23" s="1"/>
  <c r="D37" i="23"/>
  <c r="E37" i="23" s="1"/>
  <c r="F37" i="23" s="1"/>
  <c r="G37" i="23" s="1"/>
  <c r="D38" i="23"/>
  <c r="E38" i="23" s="1"/>
  <c r="F38" i="23" s="1"/>
  <c r="G38" i="23" s="1"/>
  <c r="B30" i="23"/>
  <c r="B31" i="23"/>
  <c r="B32" i="23"/>
  <c r="B33" i="23"/>
  <c r="B34" i="23"/>
  <c r="B35" i="23"/>
  <c r="B36" i="23"/>
  <c r="B37" i="23"/>
  <c r="B38" i="23"/>
  <c r="D20" i="23"/>
  <c r="E20" i="23" s="1"/>
  <c r="F20" i="23" s="1"/>
  <c r="G20" i="23" s="1"/>
  <c r="D21" i="23"/>
  <c r="E21" i="23" s="1"/>
  <c r="F21" i="23" s="1"/>
  <c r="G21" i="23" s="1"/>
  <c r="D22" i="23"/>
  <c r="E22" i="23" s="1"/>
  <c r="F22" i="23" s="1"/>
  <c r="G22" i="23" s="1"/>
  <c r="B20" i="23"/>
  <c r="B21" i="23"/>
  <c r="B22" i="23"/>
  <c r="D5" i="23"/>
  <c r="E5" i="23" s="1"/>
  <c r="F5" i="23" s="1"/>
  <c r="G5" i="23" s="1"/>
  <c r="D6" i="23"/>
  <c r="E6" i="23" s="1"/>
  <c r="F6" i="23" s="1"/>
  <c r="G6" i="23" s="1"/>
  <c r="D7" i="23"/>
  <c r="E7" i="23" s="1"/>
  <c r="F7" i="23" s="1"/>
  <c r="G7" i="23" s="1"/>
  <c r="D8" i="23"/>
  <c r="E8" i="23" s="1"/>
  <c r="F8" i="23" s="1"/>
  <c r="G8" i="23" s="1"/>
  <c r="D9" i="23"/>
  <c r="E9" i="23" s="1"/>
  <c r="F9" i="23" s="1"/>
  <c r="G9" i="23" s="1"/>
  <c r="D10" i="23"/>
  <c r="E10" i="23" s="1"/>
  <c r="F10" i="23" s="1"/>
  <c r="G10" i="23" s="1"/>
  <c r="D11" i="23"/>
  <c r="E11" i="23" s="1"/>
  <c r="F11" i="23" s="1"/>
  <c r="G11" i="23" s="1"/>
  <c r="D12" i="23"/>
  <c r="E12" i="23" s="1"/>
  <c r="F12" i="23" s="1"/>
  <c r="G12" i="23" s="1"/>
  <c r="D14" i="23"/>
  <c r="E14" i="23" s="1"/>
  <c r="F14" i="23" s="1"/>
  <c r="G14" i="23" s="1"/>
  <c r="B5" i="23"/>
  <c r="B6" i="23"/>
  <c r="B7" i="23"/>
  <c r="B8" i="23"/>
  <c r="B9" i="23"/>
  <c r="B10" i="23"/>
  <c r="B11" i="23"/>
  <c r="B12" i="23"/>
  <c r="A2" i="23"/>
  <c r="B4" i="23"/>
  <c r="D4" i="23"/>
  <c r="E4" i="23" s="1"/>
  <c r="B14" i="23"/>
  <c r="D15" i="23"/>
  <c r="E15" i="23" s="1"/>
  <c r="F15" i="23" s="1"/>
  <c r="B16" i="23"/>
  <c r="D17" i="23"/>
  <c r="E17" i="23"/>
  <c r="F17" i="23"/>
  <c r="G17" i="23"/>
  <c r="B19" i="23"/>
  <c r="D19" i="23"/>
  <c r="E19" i="23" s="1"/>
  <c r="F19" i="23" s="1"/>
  <c r="B24" i="23"/>
  <c r="D24" i="23"/>
  <c r="E24" i="23" s="1"/>
  <c r="F24" i="23" s="1"/>
  <c r="G24" i="23" s="1"/>
  <c r="D25" i="23"/>
  <c r="E25" i="23" s="1"/>
  <c r="F25" i="23" s="1"/>
  <c r="G25" i="23" s="1"/>
  <c r="B26" i="23"/>
  <c r="D27" i="23"/>
  <c r="E27" i="23"/>
  <c r="F27" i="23"/>
  <c r="G27" i="23"/>
  <c r="B29" i="23"/>
  <c r="D29" i="23"/>
  <c r="E29" i="23" s="1"/>
  <c r="B40" i="23"/>
  <c r="D40" i="23"/>
  <c r="E40" i="23" s="1"/>
  <c r="F40" i="23" s="1"/>
  <c r="G40" i="23" s="1"/>
  <c r="D41" i="23"/>
  <c r="E41" i="23" s="1"/>
  <c r="F41" i="23" s="1"/>
  <c r="B42" i="23"/>
  <c r="D43" i="23"/>
  <c r="E43" i="23"/>
  <c r="F43" i="23"/>
  <c r="G43" i="23"/>
  <c r="B45" i="23"/>
  <c r="D45" i="23"/>
  <c r="E45" i="23" s="1"/>
  <c r="D50" i="23"/>
  <c r="E50" i="23" s="1"/>
  <c r="F50" i="23" s="1"/>
  <c r="G50" i="23" s="1"/>
  <c r="D51" i="23"/>
  <c r="E51" i="23" s="1"/>
  <c r="F51" i="23" s="1"/>
  <c r="G51" i="23" s="1"/>
  <c r="B52" i="23"/>
  <c r="D53" i="23"/>
  <c r="E53" i="23"/>
  <c r="F53" i="23"/>
  <c r="G53" i="23"/>
  <c r="B55" i="23"/>
  <c r="D55" i="23"/>
  <c r="E55" i="23" s="1"/>
  <c r="F55" i="23" s="1"/>
  <c r="E65" i="23"/>
  <c r="F65" i="23" s="1"/>
  <c r="G65" i="23" s="1"/>
  <c r="G66" i="22"/>
  <c r="F66" i="22"/>
  <c r="E66" i="22"/>
  <c r="D66" i="22"/>
  <c r="D64" i="22"/>
  <c r="E64" i="22" s="1"/>
  <c r="F64" i="22" s="1"/>
  <c r="G64" i="22" s="1"/>
  <c r="D63" i="22"/>
  <c r="E63" i="22" s="1"/>
  <c r="F63" i="22" s="1"/>
  <c r="G63" i="22" s="1"/>
  <c r="B63" i="22"/>
  <c r="E61" i="22"/>
  <c r="F61" i="22" s="1"/>
  <c r="G61" i="22" s="1"/>
  <c r="D61" i="22"/>
  <c r="B61" i="22"/>
  <c r="D60" i="22"/>
  <c r="E60" i="22" s="1"/>
  <c r="F60" i="22" s="1"/>
  <c r="G60" i="22" s="1"/>
  <c r="B60" i="22"/>
  <c r="D59" i="22"/>
  <c r="E59" i="22" s="1"/>
  <c r="F59" i="22" s="1"/>
  <c r="G59" i="22" s="1"/>
  <c r="B59" i="22"/>
  <c r="D58" i="22"/>
  <c r="E58" i="22" s="1"/>
  <c r="F58" i="22" s="1"/>
  <c r="G58" i="22" s="1"/>
  <c r="B58" i="22"/>
  <c r="D57" i="22"/>
  <c r="E57" i="22" s="1"/>
  <c r="F57" i="22" s="1"/>
  <c r="G57" i="22" s="1"/>
  <c r="B57" i="22"/>
  <c r="D56" i="22"/>
  <c r="E56" i="22" s="1"/>
  <c r="F56" i="22" s="1"/>
  <c r="G56" i="22" s="1"/>
  <c r="B56" i="22"/>
  <c r="D55" i="22"/>
  <c r="D65" i="22" s="1"/>
  <c r="B55" i="22"/>
  <c r="G53" i="22"/>
  <c r="F53" i="22"/>
  <c r="E53" i="22"/>
  <c r="D53" i="22"/>
  <c r="B52" i="22"/>
  <c r="D51" i="22"/>
  <c r="E51" i="22" s="1"/>
  <c r="F51" i="22" s="1"/>
  <c r="G51" i="22" s="1"/>
  <c r="E50" i="22"/>
  <c r="F50" i="22" s="1"/>
  <c r="G50" i="22" s="1"/>
  <c r="D50" i="22"/>
  <c r="B50" i="22"/>
  <c r="D48" i="22"/>
  <c r="E48" i="22" s="1"/>
  <c r="F48" i="22" s="1"/>
  <c r="G48" i="22" s="1"/>
  <c r="B48" i="22"/>
  <c r="D47" i="22"/>
  <c r="E47" i="22" s="1"/>
  <c r="F47" i="22" s="1"/>
  <c r="G47" i="22" s="1"/>
  <c r="B47" i="22"/>
  <c r="D46" i="22"/>
  <c r="D52" i="22" s="1"/>
  <c r="B46" i="22"/>
  <c r="D45" i="22"/>
  <c r="E45" i="22" s="1"/>
  <c r="B45" i="22"/>
  <c r="G43" i="22"/>
  <c r="F43" i="22"/>
  <c r="E43" i="22"/>
  <c r="D43" i="22"/>
  <c r="B42" i="22"/>
  <c r="E41" i="22"/>
  <c r="F41" i="22" s="1"/>
  <c r="D41" i="22"/>
  <c r="D40" i="22"/>
  <c r="E40" i="22" s="1"/>
  <c r="F40" i="22" s="1"/>
  <c r="G40" i="22" s="1"/>
  <c r="B40" i="22"/>
  <c r="D37" i="22"/>
  <c r="E37" i="22" s="1"/>
  <c r="F37" i="22" s="1"/>
  <c r="G37" i="22" s="1"/>
  <c r="B37" i="22"/>
  <c r="D36" i="22"/>
  <c r="E36" i="22" s="1"/>
  <c r="F36" i="22" s="1"/>
  <c r="G36" i="22" s="1"/>
  <c r="B36" i="22"/>
  <c r="D35" i="22"/>
  <c r="E35" i="22" s="1"/>
  <c r="F35" i="22" s="1"/>
  <c r="G35" i="22" s="1"/>
  <c r="B35" i="22"/>
  <c r="D34" i="22"/>
  <c r="E34" i="22" s="1"/>
  <c r="F34" i="22" s="1"/>
  <c r="G34" i="22" s="1"/>
  <c r="B34" i="22"/>
  <c r="D33" i="22"/>
  <c r="E33" i="22" s="1"/>
  <c r="F33" i="22" s="1"/>
  <c r="G33" i="22" s="1"/>
  <c r="B33" i="22"/>
  <c r="E32" i="22"/>
  <c r="F32" i="22" s="1"/>
  <c r="G32" i="22" s="1"/>
  <c r="D32" i="22"/>
  <c r="B32" i="22"/>
  <c r="D31" i="22"/>
  <c r="E31" i="22" s="1"/>
  <c r="F31" i="22" s="1"/>
  <c r="G31" i="22" s="1"/>
  <c r="B31" i="22"/>
  <c r="E30" i="22"/>
  <c r="F30" i="22" s="1"/>
  <c r="D30" i="22"/>
  <c r="B30" i="22"/>
  <c r="G28" i="22"/>
  <c r="F28" i="22"/>
  <c r="E28" i="22"/>
  <c r="D28" i="22"/>
  <c r="B27" i="22"/>
  <c r="E26" i="22"/>
  <c r="F26" i="22" s="1"/>
  <c r="G26" i="22" s="1"/>
  <c r="D26" i="22"/>
  <c r="D25" i="22"/>
  <c r="E25" i="22" s="1"/>
  <c r="F25" i="22" s="1"/>
  <c r="G25" i="22" s="1"/>
  <c r="B25" i="22"/>
  <c r="D23" i="22"/>
  <c r="E23" i="22" s="1"/>
  <c r="F23" i="22" s="1"/>
  <c r="G23" i="22" s="1"/>
  <c r="B23" i="22"/>
  <c r="D22" i="22"/>
  <c r="E22" i="22" s="1"/>
  <c r="F22" i="22" s="1"/>
  <c r="G22" i="22" s="1"/>
  <c r="B22" i="22"/>
  <c r="D21" i="22"/>
  <c r="B21" i="22"/>
  <c r="E20" i="22"/>
  <c r="F20" i="22" s="1"/>
  <c r="D20" i="22"/>
  <c r="B20" i="22"/>
  <c r="G18" i="22"/>
  <c r="F18" i="22"/>
  <c r="E18" i="22"/>
  <c r="D18" i="22"/>
  <c r="B17" i="22"/>
  <c r="E16" i="22"/>
  <c r="F16" i="22" s="1"/>
  <c r="D16" i="22"/>
  <c r="D15" i="22"/>
  <c r="E15" i="22" s="1"/>
  <c r="F15" i="22" s="1"/>
  <c r="G15" i="22" s="1"/>
  <c r="B15" i="22"/>
  <c r="D12" i="22"/>
  <c r="E12" i="22" s="1"/>
  <c r="F12" i="22" s="1"/>
  <c r="G12" i="22" s="1"/>
  <c r="B12" i="22"/>
  <c r="D11" i="22"/>
  <c r="E11" i="22" s="1"/>
  <c r="F11" i="22" s="1"/>
  <c r="G11" i="22" s="1"/>
  <c r="B11" i="22"/>
  <c r="E10" i="22"/>
  <c r="F10" i="22" s="1"/>
  <c r="G10" i="22" s="1"/>
  <c r="D10" i="22"/>
  <c r="B10" i="22"/>
  <c r="D9" i="22"/>
  <c r="E9" i="22" s="1"/>
  <c r="F9" i="22" s="1"/>
  <c r="G9" i="22" s="1"/>
  <c r="B9" i="22"/>
  <c r="E8" i="22"/>
  <c r="F8" i="22" s="1"/>
  <c r="G8" i="22" s="1"/>
  <c r="D8" i="22"/>
  <c r="B8" i="22"/>
  <c r="D7" i="22"/>
  <c r="E7" i="22" s="1"/>
  <c r="F7" i="22" s="1"/>
  <c r="G7" i="22" s="1"/>
  <c r="B7" i="22"/>
  <c r="D6" i="22"/>
  <c r="E6" i="22" s="1"/>
  <c r="F6" i="22" s="1"/>
  <c r="B6" i="22"/>
  <c r="D5" i="22"/>
  <c r="E5" i="22" s="1"/>
  <c r="F5" i="22" s="1"/>
  <c r="G5" i="22" s="1"/>
  <c r="B5" i="22"/>
  <c r="E4" i="22"/>
  <c r="D4" i="22"/>
  <c r="B4" i="22"/>
  <c r="A2" i="22"/>
  <c r="D17" i="22" l="1"/>
  <c r="D42" i="23"/>
  <c r="D27" i="22"/>
  <c r="D42" i="22"/>
  <c r="D26" i="23"/>
  <c r="D52" i="23"/>
  <c r="G19" i="23"/>
  <c r="F26" i="23"/>
  <c r="G55" i="23"/>
  <c r="F4" i="23"/>
  <c r="E16" i="23"/>
  <c r="E52" i="23"/>
  <c r="F45" i="23"/>
  <c r="E66" i="23"/>
  <c r="F29" i="23"/>
  <c r="D66" i="23"/>
  <c r="D16" i="23"/>
  <c r="E26" i="23"/>
  <c r="E17" i="22"/>
  <c r="G20" i="22"/>
  <c r="F45" i="22"/>
  <c r="G30" i="22"/>
  <c r="G42" i="22" s="1"/>
  <c r="F42" i="22"/>
  <c r="E21" i="22"/>
  <c r="F21" i="22" s="1"/>
  <c r="G21" i="22" s="1"/>
  <c r="E55" i="22"/>
  <c r="F4" i="22"/>
  <c r="E46" i="22"/>
  <c r="F46" i="22" s="1"/>
  <c r="G46" i="22" s="1"/>
  <c r="E42" i="22"/>
  <c r="D67" i="22" l="1"/>
  <c r="G66" i="23"/>
  <c r="G26" i="23"/>
  <c r="E68" i="23"/>
  <c r="D68" i="23"/>
  <c r="F52" i="23"/>
  <c r="G45" i="23"/>
  <c r="G52" i="23" s="1"/>
  <c r="G4" i="23"/>
  <c r="G16" i="23" s="1"/>
  <c r="F16" i="23"/>
  <c r="G29" i="23"/>
  <c r="F66" i="23"/>
  <c r="E52" i="22"/>
  <c r="G45" i="22"/>
  <c r="G52" i="22" s="1"/>
  <c r="F52" i="22"/>
  <c r="F17" i="22"/>
  <c r="G4" i="22"/>
  <c r="G17" i="22" s="1"/>
  <c r="F27" i="22"/>
  <c r="E65" i="22"/>
  <c r="F55" i="22"/>
  <c r="G27" i="22"/>
  <c r="E27" i="22"/>
  <c r="E67" i="22" l="1"/>
  <c r="F68" i="23"/>
  <c r="G68" i="23"/>
  <c r="F65" i="22"/>
  <c r="F67" i="22" s="1"/>
  <c r="G55" i="22"/>
  <c r="G65" i="22" s="1"/>
  <c r="G67" i="22"/>
  <c r="G55" i="17" l="1"/>
  <c r="G56" i="17"/>
  <c r="G57" i="17"/>
  <c r="G58" i="17"/>
  <c r="G59" i="17"/>
  <c r="G60" i="17"/>
  <c r="G61" i="17"/>
  <c r="G62" i="17"/>
  <c r="G64" i="17"/>
  <c r="G65" i="17"/>
  <c r="F55" i="17"/>
  <c r="F56" i="17"/>
  <c r="F57" i="17"/>
  <c r="F58" i="17"/>
  <c r="F59" i="17"/>
  <c r="F60" i="17"/>
  <c r="F61" i="17"/>
  <c r="F62" i="17"/>
  <c r="F64" i="17"/>
  <c r="F65" i="17"/>
  <c r="F66" i="17"/>
  <c r="E55" i="17"/>
  <c r="E56" i="17"/>
  <c r="E57" i="17"/>
  <c r="E58" i="17"/>
  <c r="E59" i="17"/>
  <c r="E60" i="17"/>
  <c r="E61" i="17"/>
  <c r="E62" i="17"/>
  <c r="E64" i="17"/>
  <c r="E65" i="17"/>
  <c r="E66" i="17"/>
  <c r="D55" i="17"/>
  <c r="D56" i="17"/>
  <c r="D57" i="17"/>
  <c r="D58" i="17"/>
  <c r="D59" i="17"/>
  <c r="D60" i="17"/>
  <c r="D61" i="17"/>
  <c r="D62" i="17"/>
  <c r="D64" i="17"/>
  <c r="D65" i="17"/>
  <c r="D66" i="17"/>
  <c r="B55" i="17"/>
  <c r="B56" i="17"/>
  <c r="B57" i="17"/>
  <c r="B58" i="17"/>
  <c r="B59" i="17"/>
  <c r="B60" i="17"/>
  <c r="B61" i="17"/>
  <c r="B62" i="17"/>
  <c r="B63" i="17"/>
  <c r="B64" i="17"/>
  <c r="B65" i="17"/>
  <c r="D46" i="17"/>
  <c r="E46" i="17" s="1"/>
  <c r="F46" i="17" s="1"/>
  <c r="G46" i="17" s="1"/>
  <c r="D47" i="17"/>
  <c r="E47" i="17" s="1"/>
  <c r="F47" i="17" s="1"/>
  <c r="G47" i="17" s="1"/>
  <c r="D49" i="17"/>
  <c r="E49" i="17" s="1"/>
  <c r="F49" i="17" s="1"/>
  <c r="G49" i="17" s="1"/>
  <c r="B46" i="17"/>
  <c r="B47" i="17"/>
  <c r="B48" i="17"/>
  <c r="B49" i="17"/>
  <c r="D30" i="17"/>
  <c r="E30" i="17" s="1"/>
  <c r="F30" i="17" s="1"/>
  <c r="G30" i="17" s="1"/>
  <c r="D31" i="17"/>
  <c r="E31" i="17" s="1"/>
  <c r="F31" i="17" s="1"/>
  <c r="G31" i="17" s="1"/>
  <c r="D32" i="17"/>
  <c r="E32" i="17" s="1"/>
  <c r="F32" i="17" s="1"/>
  <c r="G32" i="17" s="1"/>
  <c r="D33" i="17"/>
  <c r="E33" i="17" s="1"/>
  <c r="F33" i="17" s="1"/>
  <c r="G33" i="17" s="1"/>
  <c r="D34" i="17"/>
  <c r="E34" i="17" s="1"/>
  <c r="F34" i="17" s="1"/>
  <c r="G34" i="17" s="1"/>
  <c r="D35" i="17"/>
  <c r="E35" i="17" s="1"/>
  <c r="F35" i="17" s="1"/>
  <c r="G35" i="17" s="1"/>
  <c r="D36" i="17"/>
  <c r="E36" i="17" s="1"/>
  <c r="F36" i="17" s="1"/>
  <c r="G36" i="17" s="1"/>
  <c r="D37" i="17"/>
  <c r="E37" i="17" s="1"/>
  <c r="F37" i="17" s="1"/>
  <c r="G37" i="17" s="1"/>
  <c r="D38" i="17"/>
  <c r="E38" i="17" s="1"/>
  <c r="F38" i="17" s="1"/>
  <c r="G38" i="17" s="1"/>
  <c r="B30" i="17"/>
  <c r="B31" i="17"/>
  <c r="B32" i="17"/>
  <c r="B33" i="17"/>
  <c r="B34" i="17"/>
  <c r="B35" i="17"/>
  <c r="B36" i="17"/>
  <c r="B37" i="17"/>
  <c r="B38" i="17"/>
  <c r="B39" i="17"/>
  <c r="B40" i="17"/>
  <c r="D20" i="17"/>
  <c r="E20" i="17" s="1"/>
  <c r="F20" i="17" s="1"/>
  <c r="G20" i="17" s="1"/>
  <c r="D21" i="17"/>
  <c r="E21" i="17" s="1"/>
  <c r="F21" i="17" s="1"/>
  <c r="G21" i="17" s="1"/>
  <c r="D22" i="17"/>
  <c r="E22" i="17" s="1"/>
  <c r="F22" i="17" s="1"/>
  <c r="G22" i="17" s="1"/>
  <c r="D24" i="17"/>
  <c r="E24" i="17" s="1"/>
  <c r="F24" i="17" s="1"/>
  <c r="G24" i="17" s="1"/>
  <c r="D25" i="17"/>
  <c r="E25" i="17" s="1"/>
  <c r="F25" i="17" s="1"/>
  <c r="G25" i="17" s="1"/>
  <c r="B20" i="17"/>
  <c r="B21" i="17"/>
  <c r="B22" i="17"/>
  <c r="B23" i="17"/>
  <c r="B24" i="17"/>
  <c r="D5" i="17"/>
  <c r="E5" i="17" s="1"/>
  <c r="F5" i="17" s="1"/>
  <c r="G5" i="17" s="1"/>
  <c r="D6" i="17"/>
  <c r="E6" i="17" s="1"/>
  <c r="F6" i="17" s="1"/>
  <c r="G6" i="17" s="1"/>
  <c r="D7" i="17"/>
  <c r="E7" i="17" s="1"/>
  <c r="F7" i="17" s="1"/>
  <c r="G7" i="17" s="1"/>
  <c r="D8" i="17"/>
  <c r="E8" i="17" s="1"/>
  <c r="F8" i="17" s="1"/>
  <c r="G8" i="17" s="1"/>
  <c r="D9" i="17"/>
  <c r="E9" i="17" s="1"/>
  <c r="F9" i="17" s="1"/>
  <c r="G9" i="17" s="1"/>
  <c r="D10" i="17"/>
  <c r="E10" i="17" s="1"/>
  <c r="F10" i="17" s="1"/>
  <c r="G10" i="17" s="1"/>
  <c r="D11" i="17"/>
  <c r="E11" i="17" s="1"/>
  <c r="F11" i="17" s="1"/>
  <c r="G11" i="17" s="1"/>
  <c r="D12" i="17"/>
  <c r="E12" i="17" s="1"/>
  <c r="F12" i="17" s="1"/>
  <c r="G12" i="17" s="1"/>
  <c r="B5" i="17"/>
  <c r="B6" i="17"/>
  <c r="B7" i="17"/>
  <c r="B8" i="17"/>
  <c r="B9" i="17"/>
  <c r="B10" i="17"/>
  <c r="B11" i="17"/>
  <c r="B12" i="17"/>
  <c r="B13" i="17"/>
  <c r="B14" i="17"/>
  <c r="G55" i="11"/>
  <c r="G56" i="11"/>
  <c r="G57" i="11"/>
  <c r="G58" i="11"/>
  <c r="G59" i="11"/>
  <c r="G60" i="11"/>
  <c r="G61" i="11"/>
  <c r="G62" i="11"/>
  <c r="G64" i="11"/>
  <c r="G65" i="11"/>
  <c r="G66" i="11"/>
  <c r="F55" i="11"/>
  <c r="F56" i="11"/>
  <c r="F57" i="11"/>
  <c r="F58" i="11"/>
  <c r="F59" i="11"/>
  <c r="F60" i="11"/>
  <c r="F61" i="11"/>
  <c r="F62" i="11"/>
  <c r="F64" i="11"/>
  <c r="F65" i="11"/>
  <c r="F66" i="11"/>
  <c r="E55" i="11"/>
  <c r="E56" i="11"/>
  <c r="E57" i="11"/>
  <c r="E58" i="11"/>
  <c r="E59" i="11"/>
  <c r="E60" i="11"/>
  <c r="E61" i="11"/>
  <c r="E62" i="11"/>
  <c r="E64" i="11"/>
  <c r="E65" i="11"/>
  <c r="E66" i="11"/>
  <c r="D55" i="11"/>
  <c r="D56" i="11"/>
  <c r="D57" i="11"/>
  <c r="D58" i="11"/>
  <c r="D59" i="11"/>
  <c r="D60" i="11"/>
  <c r="D61" i="11"/>
  <c r="D62" i="11"/>
  <c r="D64" i="11"/>
  <c r="D65" i="11"/>
  <c r="D66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E46" i="11"/>
  <c r="F46" i="11" s="1"/>
  <c r="G46" i="11" s="1"/>
  <c r="D45" i="11"/>
  <c r="E45" i="11" s="1"/>
  <c r="F45" i="11" s="1"/>
  <c r="G45" i="11" s="1"/>
  <c r="D46" i="11"/>
  <c r="D47" i="11"/>
  <c r="E47" i="11" s="1"/>
  <c r="F47" i="11" s="1"/>
  <c r="G47" i="11" s="1"/>
  <c r="B45" i="11"/>
  <c r="B46" i="11"/>
  <c r="B47" i="11"/>
  <c r="B48" i="11"/>
  <c r="B49" i="11"/>
  <c r="D30" i="11"/>
  <c r="E30" i="11" s="1"/>
  <c r="F30" i="11" s="1"/>
  <c r="G30" i="11" s="1"/>
  <c r="D31" i="11"/>
  <c r="E31" i="11" s="1"/>
  <c r="F31" i="11" s="1"/>
  <c r="G31" i="11" s="1"/>
  <c r="D32" i="11"/>
  <c r="E32" i="11" s="1"/>
  <c r="F32" i="11" s="1"/>
  <c r="G32" i="11" s="1"/>
  <c r="D33" i="11"/>
  <c r="E33" i="11" s="1"/>
  <c r="F33" i="11" s="1"/>
  <c r="G33" i="11" s="1"/>
  <c r="D34" i="11"/>
  <c r="E34" i="11" s="1"/>
  <c r="F34" i="11" s="1"/>
  <c r="G34" i="11" s="1"/>
  <c r="D35" i="11"/>
  <c r="E35" i="11" s="1"/>
  <c r="F35" i="11" s="1"/>
  <c r="G35" i="11" s="1"/>
  <c r="D36" i="11"/>
  <c r="E36" i="11" s="1"/>
  <c r="F36" i="11" s="1"/>
  <c r="G36" i="11" s="1"/>
  <c r="D37" i="11"/>
  <c r="E37" i="11" s="1"/>
  <c r="F37" i="11" s="1"/>
  <c r="G37" i="11" s="1"/>
  <c r="B30" i="11"/>
  <c r="B31" i="11"/>
  <c r="B32" i="11"/>
  <c r="B33" i="11"/>
  <c r="B34" i="11"/>
  <c r="B35" i="11"/>
  <c r="B36" i="11"/>
  <c r="B37" i="11"/>
  <c r="B38" i="11"/>
  <c r="B39" i="11"/>
  <c r="D20" i="11"/>
  <c r="E20" i="11" s="1"/>
  <c r="F20" i="11" s="1"/>
  <c r="G20" i="11" s="1"/>
  <c r="D21" i="11"/>
  <c r="E21" i="11" s="1"/>
  <c r="F21" i="11" s="1"/>
  <c r="G21" i="11" s="1"/>
  <c r="D22" i="11"/>
  <c r="E22" i="11" s="1"/>
  <c r="F22" i="11" s="1"/>
  <c r="G22" i="11" s="1"/>
  <c r="D24" i="11"/>
  <c r="E24" i="11" s="1"/>
  <c r="F24" i="11" s="1"/>
  <c r="G24" i="11" s="1"/>
  <c r="D25" i="11"/>
  <c r="E25" i="11" s="1"/>
  <c r="F25" i="11" s="1"/>
  <c r="G25" i="11" s="1"/>
  <c r="B20" i="11"/>
  <c r="B21" i="11"/>
  <c r="B22" i="11"/>
  <c r="B23" i="11"/>
  <c r="B24" i="11"/>
  <c r="D5" i="11"/>
  <c r="E5" i="11" s="1"/>
  <c r="F5" i="11" s="1"/>
  <c r="G5" i="11" s="1"/>
  <c r="D6" i="11"/>
  <c r="E6" i="11" s="1"/>
  <c r="F6" i="11" s="1"/>
  <c r="G6" i="11" s="1"/>
  <c r="D7" i="11"/>
  <c r="E7" i="11" s="1"/>
  <c r="F7" i="11" s="1"/>
  <c r="G7" i="11" s="1"/>
  <c r="D8" i="11"/>
  <c r="E8" i="11" s="1"/>
  <c r="F8" i="11" s="1"/>
  <c r="G8" i="11" s="1"/>
  <c r="D9" i="11"/>
  <c r="E9" i="11" s="1"/>
  <c r="F9" i="11" s="1"/>
  <c r="G9" i="11" s="1"/>
  <c r="D10" i="11"/>
  <c r="E10" i="11" s="1"/>
  <c r="F10" i="11" s="1"/>
  <c r="G10" i="11" s="1"/>
  <c r="D11" i="11"/>
  <c r="E11" i="11" s="1"/>
  <c r="F11" i="11" s="1"/>
  <c r="G11" i="11" s="1"/>
  <c r="D12" i="11"/>
  <c r="E12" i="11" s="1"/>
  <c r="F12" i="11" s="1"/>
  <c r="G12" i="11" s="1"/>
  <c r="D14" i="11"/>
  <c r="E14" i="11" s="1"/>
  <c r="F14" i="11" s="1"/>
  <c r="G14" i="11" s="1"/>
  <c r="D15" i="11"/>
  <c r="E15" i="11" s="1"/>
  <c r="F15" i="11" s="1"/>
  <c r="B5" i="11"/>
  <c r="B6" i="11"/>
  <c r="B7" i="11"/>
  <c r="B8" i="11"/>
  <c r="B9" i="11"/>
  <c r="B10" i="11"/>
  <c r="B11" i="11"/>
  <c r="B12" i="11"/>
  <c r="B13" i="11"/>
  <c r="B14" i="11"/>
  <c r="G56" i="10"/>
  <c r="G57" i="10"/>
  <c r="G58" i="10"/>
  <c r="G59" i="10"/>
  <c r="G60" i="10"/>
  <c r="G61" i="10"/>
  <c r="G62" i="10"/>
  <c r="G64" i="10"/>
  <c r="G65" i="10"/>
  <c r="F56" i="10"/>
  <c r="F57" i="10"/>
  <c r="F58" i="10"/>
  <c r="F59" i="10"/>
  <c r="F60" i="10"/>
  <c r="F61" i="10"/>
  <c r="F62" i="10"/>
  <c r="F64" i="10"/>
  <c r="F65" i="10"/>
  <c r="E56" i="10"/>
  <c r="E57" i="10"/>
  <c r="E58" i="10"/>
  <c r="E59" i="10"/>
  <c r="E60" i="10"/>
  <c r="E61" i="10"/>
  <c r="E62" i="10"/>
  <c r="E64" i="10"/>
  <c r="E65" i="10"/>
  <c r="D56" i="10"/>
  <c r="D57" i="10"/>
  <c r="D58" i="10"/>
  <c r="D59" i="10"/>
  <c r="D60" i="10"/>
  <c r="D61" i="10"/>
  <c r="D62" i="10"/>
  <c r="D64" i="10"/>
  <c r="D65" i="10"/>
  <c r="B56" i="10"/>
  <c r="B57" i="10"/>
  <c r="B58" i="10"/>
  <c r="B59" i="10"/>
  <c r="B60" i="10"/>
  <c r="B61" i="10"/>
  <c r="B62" i="10"/>
  <c r="B63" i="10"/>
  <c r="B64" i="10"/>
  <c r="E51" i="10"/>
  <c r="F51" i="10" s="1"/>
  <c r="G51" i="10" s="1"/>
  <c r="D46" i="10"/>
  <c r="E46" i="10" s="1"/>
  <c r="F46" i="10" s="1"/>
  <c r="G46" i="10" s="1"/>
  <c r="D47" i="10"/>
  <c r="E47" i="10" s="1"/>
  <c r="F47" i="10" s="1"/>
  <c r="G47" i="10" s="1"/>
  <c r="D48" i="10"/>
  <c r="E48" i="10" s="1"/>
  <c r="F48" i="10" s="1"/>
  <c r="G48" i="10" s="1"/>
  <c r="D50" i="10"/>
  <c r="E50" i="10" s="1"/>
  <c r="F50" i="10" s="1"/>
  <c r="G50" i="10" s="1"/>
  <c r="D51" i="10"/>
  <c r="B46" i="10"/>
  <c r="B47" i="10"/>
  <c r="B48" i="10"/>
  <c r="B49" i="10"/>
  <c r="B50" i="10"/>
  <c r="D30" i="10"/>
  <c r="E30" i="10" s="1"/>
  <c r="D31" i="10"/>
  <c r="E31" i="10" s="1"/>
  <c r="F31" i="10" s="1"/>
  <c r="G31" i="10" s="1"/>
  <c r="D32" i="10"/>
  <c r="E32" i="10" s="1"/>
  <c r="F32" i="10" s="1"/>
  <c r="G32" i="10" s="1"/>
  <c r="D33" i="10"/>
  <c r="E33" i="10" s="1"/>
  <c r="F33" i="10" s="1"/>
  <c r="G33" i="10" s="1"/>
  <c r="D34" i="10"/>
  <c r="E34" i="10" s="1"/>
  <c r="F34" i="10" s="1"/>
  <c r="G34" i="10" s="1"/>
  <c r="D35" i="10"/>
  <c r="E35" i="10" s="1"/>
  <c r="F35" i="10" s="1"/>
  <c r="G35" i="10" s="1"/>
  <c r="D36" i="10"/>
  <c r="E36" i="10" s="1"/>
  <c r="F36" i="10" s="1"/>
  <c r="G36" i="10" s="1"/>
  <c r="D37" i="10"/>
  <c r="E37" i="10" s="1"/>
  <c r="F37" i="10" s="1"/>
  <c r="G37" i="10" s="1"/>
  <c r="D38" i="10"/>
  <c r="E38" i="10" s="1"/>
  <c r="F38" i="10" s="1"/>
  <c r="G38" i="10" s="1"/>
  <c r="B30" i="10"/>
  <c r="B31" i="10"/>
  <c r="B32" i="10"/>
  <c r="B33" i="10"/>
  <c r="B34" i="10"/>
  <c r="B35" i="10"/>
  <c r="B36" i="10"/>
  <c r="B37" i="10"/>
  <c r="B38" i="10"/>
  <c r="B39" i="10"/>
  <c r="B40" i="10"/>
  <c r="E24" i="10"/>
  <c r="F24" i="10" s="1"/>
  <c r="G24" i="10" s="1"/>
  <c r="D20" i="10"/>
  <c r="E20" i="10" s="1"/>
  <c r="F20" i="10" s="1"/>
  <c r="G20" i="10" s="1"/>
  <c r="D21" i="10"/>
  <c r="E21" i="10" s="1"/>
  <c r="F21" i="10" s="1"/>
  <c r="G21" i="10" s="1"/>
  <c r="D22" i="10"/>
  <c r="E22" i="10" s="1"/>
  <c r="F22" i="10" s="1"/>
  <c r="G22" i="10" s="1"/>
  <c r="D24" i="10"/>
  <c r="D25" i="10"/>
  <c r="E25" i="10" s="1"/>
  <c r="F25" i="10" s="1"/>
  <c r="G25" i="10" s="1"/>
  <c r="B20" i="10"/>
  <c r="B21" i="10"/>
  <c r="B22" i="10"/>
  <c r="B23" i="10"/>
  <c r="B24" i="10"/>
  <c r="D5" i="10"/>
  <c r="E5" i="10" s="1"/>
  <c r="F5" i="10" s="1"/>
  <c r="G5" i="10" s="1"/>
  <c r="D6" i="10"/>
  <c r="E6" i="10" s="1"/>
  <c r="F6" i="10" s="1"/>
  <c r="G6" i="10" s="1"/>
  <c r="D7" i="10"/>
  <c r="E7" i="10" s="1"/>
  <c r="F7" i="10" s="1"/>
  <c r="G7" i="10" s="1"/>
  <c r="D8" i="10"/>
  <c r="E8" i="10" s="1"/>
  <c r="F8" i="10" s="1"/>
  <c r="G8" i="10" s="1"/>
  <c r="D9" i="10"/>
  <c r="E9" i="10" s="1"/>
  <c r="F9" i="10" s="1"/>
  <c r="G9" i="10" s="1"/>
  <c r="D10" i="10"/>
  <c r="E10" i="10" s="1"/>
  <c r="F10" i="10" s="1"/>
  <c r="G10" i="10" s="1"/>
  <c r="D11" i="10"/>
  <c r="E11" i="10" s="1"/>
  <c r="F11" i="10" s="1"/>
  <c r="G11" i="10" s="1"/>
  <c r="D12" i="10"/>
  <c r="E12" i="10" s="1"/>
  <c r="F12" i="10" s="1"/>
  <c r="G12" i="10" s="1"/>
  <c r="B5" i="10"/>
  <c r="B6" i="10"/>
  <c r="B7" i="10"/>
  <c r="B8" i="10"/>
  <c r="B9" i="10"/>
  <c r="B10" i="10"/>
  <c r="B11" i="10"/>
  <c r="B12" i="10"/>
  <c r="B13" i="10"/>
  <c r="B14" i="10"/>
  <c r="G56" i="9"/>
  <c r="G57" i="9"/>
  <c r="G58" i="9"/>
  <c r="G59" i="9"/>
  <c r="G60" i="9"/>
  <c r="G63" i="9"/>
  <c r="G64" i="9"/>
  <c r="G65" i="9"/>
  <c r="F56" i="9"/>
  <c r="F57" i="9"/>
  <c r="F58" i="9"/>
  <c r="F59" i="9"/>
  <c r="F60" i="9"/>
  <c r="F63" i="9"/>
  <c r="F64" i="9"/>
  <c r="F65" i="9"/>
  <c r="E56" i="9"/>
  <c r="E57" i="9"/>
  <c r="E58" i="9"/>
  <c r="E59" i="9"/>
  <c r="E60" i="9"/>
  <c r="E63" i="9"/>
  <c r="E64" i="9"/>
  <c r="E65" i="9"/>
  <c r="D56" i="9"/>
  <c r="D57" i="9"/>
  <c r="D58" i="9"/>
  <c r="D59" i="9"/>
  <c r="D60" i="9"/>
  <c r="D61" i="9"/>
  <c r="E61" i="9" s="1"/>
  <c r="F61" i="9" s="1"/>
  <c r="G61" i="9" s="1"/>
  <c r="D63" i="9"/>
  <c r="D64" i="9"/>
  <c r="D65" i="9"/>
  <c r="B56" i="9"/>
  <c r="B57" i="9"/>
  <c r="B58" i="9"/>
  <c r="B59" i="9"/>
  <c r="B60" i="9"/>
  <c r="B61" i="9"/>
  <c r="B62" i="9"/>
  <c r="B63" i="9"/>
  <c r="B64" i="9"/>
  <c r="E50" i="9"/>
  <c r="F50" i="9" s="1"/>
  <c r="G50" i="9" s="1"/>
  <c r="D46" i="9"/>
  <c r="E46" i="9" s="1"/>
  <c r="F46" i="9" s="1"/>
  <c r="G46" i="9" s="1"/>
  <c r="D47" i="9"/>
  <c r="E47" i="9" s="1"/>
  <c r="F47" i="9" s="1"/>
  <c r="G47" i="9" s="1"/>
  <c r="D48" i="9"/>
  <c r="E48" i="9" s="1"/>
  <c r="F48" i="9" s="1"/>
  <c r="G48" i="9" s="1"/>
  <c r="D50" i="9"/>
  <c r="D51" i="9"/>
  <c r="E51" i="9" s="1"/>
  <c r="F51" i="9" s="1"/>
  <c r="G51" i="9" s="1"/>
  <c r="B50" i="9"/>
  <c r="B49" i="9"/>
  <c r="B48" i="9"/>
  <c r="B47" i="9"/>
  <c r="B46" i="9"/>
  <c r="D31" i="9"/>
  <c r="E31" i="9" s="1"/>
  <c r="F31" i="9" s="1"/>
  <c r="G31" i="9" s="1"/>
  <c r="D32" i="9"/>
  <c r="E32" i="9" s="1"/>
  <c r="F32" i="9" s="1"/>
  <c r="G32" i="9" s="1"/>
  <c r="D33" i="9"/>
  <c r="E33" i="9" s="1"/>
  <c r="F33" i="9" s="1"/>
  <c r="G33" i="9" s="1"/>
  <c r="D34" i="9"/>
  <c r="E34" i="9" s="1"/>
  <c r="F34" i="9" s="1"/>
  <c r="G34" i="9" s="1"/>
  <c r="D35" i="9"/>
  <c r="E35" i="9" s="1"/>
  <c r="F35" i="9" s="1"/>
  <c r="G35" i="9" s="1"/>
  <c r="D36" i="9"/>
  <c r="E36" i="9" s="1"/>
  <c r="F36" i="9" s="1"/>
  <c r="G36" i="9" s="1"/>
  <c r="D37" i="9"/>
  <c r="E37" i="9" s="1"/>
  <c r="F37" i="9" s="1"/>
  <c r="G37" i="9" s="1"/>
  <c r="D38" i="9"/>
  <c r="E38" i="9" s="1"/>
  <c r="F38" i="9" s="1"/>
  <c r="G38" i="9" s="1"/>
  <c r="D40" i="9"/>
  <c r="E40" i="9" s="1"/>
  <c r="F40" i="9" s="1"/>
  <c r="G40" i="9" s="1"/>
  <c r="D41" i="9"/>
  <c r="E41" i="9" s="1"/>
  <c r="F41" i="9" s="1"/>
  <c r="B31" i="9"/>
  <c r="B32" i="9"/>
  <c r="B33" i="9"/>
  <c r="B34" i="9"/>
  <c r="B35" i="9"/>
  <c r="B36" i="9"/>
  <c r="B37" i="9"/>
  <c r="B38" i="9"/>
  <c r="B39" i="9"/>
  <c r="B40" i="9"/>
  <c r="D21" i="9"/>
  <c r="E21" i="9" s="1"/>
  <c r="F21" i="9" s="1"/>
  <c r="G21" i="9" s="1"/>
  <c r="D22" i="9"/>
  <c r="E22" i="9" s="1"/>
  <c r="F22" i="9" s="1"/>
  <c r="G22" i="9" s="1"/>
  <c r="D23" i="9"/>
  <c r="E23" i="9" s="1"/>
  <c r="F23" i="9" s="1"/>
  <c r="G23" i="9" s="1"/>
  <c r="D25" i="9"/>
  <c r="E25" i="9" s="1"/>
  <c r="F25" i="9" s="1"/>
  <c r="G25" i="9" s="1"/>
  <c r="D26" i="9"/>
  <c r="E26" i="9" s="1"/>
  <c r="F26" i="9" s="1"/>
  <c r="G26" i="9" s="1"/>
  <c r="B21" i="9"/>
  <c r="B22" i="9"/>
  <c r="B23" i="9"/>
  <c r="B24" i="9"/>
  <c r="B25" i="9"/>
  <c r="D5" i="9"/>
  <c r="E5" i="9" s="1"/>
  <c r="F5" i="9" s="1"/>
  <c r="G5" i="9" s="1"/>
  <c r="D6" i="9"/>
  <c r="E6" i="9" s="1"/>
  <c r="F6" i="9" s="1"/>
  <c r="G6" i="9" s="1"/>
  <c r="D7" i="9"/>
  <c r="E7" i="9" s="1"/>
  <c r="F7" i="9" s="1"/>
  <c r="G7" i="9" s="1"/>
  <c r="D8" i="9"/>
  <c r="E8" i="9" s="1"/>
  <c r="F8" i="9" s="1"/>
  <c r="G8" i="9" s="1"/>
  <c r="D9" i="9"/>
  <c r="E9" i="9" s="1"/>
  <c r="F9" i="9" s="1"/>
  <c r="G9" i="9" s="1"/>
  <c r="D10" i="9"/>
  <c r="E10" i="9" s="1"/>
  <c r="F10" i="9" s="1"/>
  <c r="G10" i="9" s="1"/>
  <c r="D11" i="9"/>
  <c r="E11" i="9" s="1"/>
  <c r="F11" i="9" s="1"/>
  <c r="G11" i="9" s="1"/>
  <c r="D12" i="9"/>
  <c r="E12" i="9" s="1"/>
  <c r="F12" i="9" s="1"/>
  <c r="G12" i="9" s="1"/>
  <c r="D13" i="9"/>
  <c r="E13" i="9" s="1"/>
  <c r="F13" i="9" s="1"/>
  <c r="G13" i="9" s="1"/>
  <c r="D15" i="9"/>
  <c r="E15" i="9" s="1"/>
  <c r="F15" i="9" s="1"/>
  <c r="G15" i="9" s="1"/>
  <c r="D16" i="9"/>
  <c r="E16" i="9" s="1"/>
  <c r="F16" i="9" s="1"/>
  <c r="B5" i="9"/>
  <c r="B6" i="9"/>
  <c r="B7" i="9"/>
  <c r="B8" i="9"/>
  <c r="B9" i="9"/>
  <c r="B10" i="9"/>
  <c r="B11" i="9"/>
  <c r="B12" i="9"/>
  <c r="B13" i="9"/>
  <c r="B14" i="9"/>
  <c r="B15" i="9"/>
  <c r="F30" i="10" l="1"/>
  <c r="G17" i="9"/>
  <c r="E17" i="9"/>
  <c r="F17" i="9"/>
  <c r="D17" i="9"/>
  <c r="F42" i="16"/>
  <c r="G42" i="16"/>
  <c r="G55" i="16"/>
  <c r="G59" i="16"/>
  <c r="G60" i="16"/>
  <c r="G61" i="16"/>
  <c r="G62" i="16"/>
  <c r="G64" i="16"/>
  <c r="G65" i="16"/>
  <c r="F55" i="16"/>
  <c r="F59" i="16"/>
  <c r="F60" i="16"/>
  <c r="F61" i="16"/>
  <c r="F62" i="16"/>
  <c r="F64" i="16"/>
  <c r="F65" i="16"/>
  <c r="F66" i="16"/>
  <c r="E55" i="16"/>
  <c r="E59" i="16"/>
  <c r="E60" i="16"/>
  <c r="E61" i="16"/>
  <c r="E62" i="16"/>
  <c r="E64" i="16"/>
  <c r="E65" i="16"/>
  <c r="E66" i="16"/>
  <c r="D55" i="16"/>
  <c r="D56" i="16"/>
  <c r="E56" i="16" s="1"/>
  <c r="F56" i="16" s="1"/>
  <c r="G56" i="16" s="1"/>
  <c r="D57" i="16"/>
  <c r="E57" i="16" s="1"/>
  <c r="F57" i="16" s="1"/>
  <c r="G57" i="16" s="1"/>
  <c r="D58" i="16"/>
  <c r="E58" i="16" s="1"/>
  <c r="F58" i="16" s="1"/>
  <c r="G58" i="16" s="1"/>
  <c r="D59" i="16"/>
  <c r="D60" i="16"/>
  <c r="D61" i="16"/>
  <c r="D62" i="16"/>
  <c r="D64" i="16"/>
  <c r="D65" i="16"/>
  <c r="D66" i="16"/>
  <c r="B55" i="16"/>
  <c r="B56" i="16"/>
  <c r="B57" i="16"/>
  <c r="B58" i="16"/>
  <c r="B59" i="16"/>
  <c r="B60" i="16"/>
  <c r="B61" i="16"/>
  <c r="B62" i="16"/>
  <c r="B63" i="16"/>
  <c r="B64" i="16"/>
  <c r="B65" i="16"/>
  <c r="B66" i="16"/>
  <c r="E49" i="16"/>
  <c r="F49" i="16" s="1"/>
  <c r="G49" i="16" s="1"/>
  <c r="E50" i="16"/>
  <c r="F50" i="16" s="1"/>
  <c r="G50" i="16" s="1"/>
  <c r="D46" i="16"/>
  <c r="E46" i="16" s="1"/>
  <c r="F46" i="16" s="1"/>
  <c r="G46" i="16" s="1"/>
  <c r="D47" i="16"/>
  <c r="E47" i="16" s="1"/>
  <c r="F47" i="16" s="1"/>
  <c r="G47" i="16" s="1"/>
  <c r="D50" i="16"/>
  <c r="B46" i="16"/>
  <c r="B47" i="16"/>
  <c r="B48" i="16"/>
  <c r="B49" i="16"/>
  <c r="B50" i="16"/>
  <c r="D30" i="16"/>
  <c r="E30" i="16" s="1"/>
  <c r="F30" i="16" s="1"/>
  <c r="G30" i="16" s="1"/>
  <c r="D31" i="16"/>
  <c r="E31" i="16" s="1"/>
  <c r="F31" i="16" s="1"/>
  <c r="G31" i="16" s="1"/>
  <c r="D32" i="16"/>
  <c r="E32" i="16" s="1"/>
  <c r="F32" i="16" s="1"/>
  <c r="G32" i="16" s="1"/>
  <c r="D33" i="16"/>
  <c r="E33" i="16" s="1"/>
  <c r="F33" i="16" s="1"/>
  <c r="G33" i="16" s="1"/>
  <c r="D34" i="16"/>
  <c r="E34" i="16" s="1"/>
  <c r="F34" i="16" s="1"/>
  <c r="G34" i="16" s="1"/>
  <c r="D35" i="16"/>
  <c r="E35" i="16" s="1"/>
  <c r="F35" i="16" s="1"/>
  <c r="G35" i="16" s="1"/>
  <c r="D36" i="16"/>
  <c r="E36" i="16" s="1"/>
  <c r="F36" i="16" s="1"/>
  <c r="G36" i="16" s="1"/>
  <c r="D37" i="16"/>
  <c r="E37" i="16" s="1"/>
  <c r="F37" i="16" s="1"/>
  <c r="G37" i="16" s="1"/>
  <c r="D38" i="16"/>
  <c r="E38" i="16" s="1"/>
  <c r="F38" i="16" s="1"/>
  <c r="G38" i="16" s="1"/>
  <c r="D40" i="16"/>
  <c r="E40" i="16" s="1"/>
  <c r="F40" i="16" s="1"/>
  <c r="G40" i="16" s="1"/>
  <c r="D41" i="16"/>
  <c r="E41" i="16" s="1"/>
  <c r="B30" i="16"/>
  <c r="B31" i="16"/>
  <c r="B32" i="16"/>
  <c r="B33" i="16"/>
  <c r="B34" i="16"/>
  <c r="B35" i="16"/>
  <c r="B36" i="16"/>
  <c r="B37" i="16"/>
  <c r="B38" i="16"/>
  <c r="B39" i="16"/>
  <c r="B40" i="16"/>
  <c r="B41" i="16"/>
  <c r="D20" i="16"/>
  <c r="E20" i="16" s="1"/>
  <c r="F20" i="16" s="1"/>
  <c r="G20" i="16" s="1"/>
  <c r="D21" i="16"/>
  <c r="E21" i="16" s="1"/>
  <c r="F21" i="16" s="1"/>
  <c r="G21" i="16" s="1"/>
  <c r="D22" i="16"/>
  <c r="E22" i="16" s="1"/>
  <c r="F22" i="16" s="1"/>
  <c r="G22" i="16" s="1"/>
  <c r="D24" i="16"/>
  <c r="E24" i="16" s="1"/>
  <c r="F24" i="16" s="1"/>
  <c r="G24" i="16" s="1"/>
  <c r="D25" i="16"/>
  <c r="E25" i="16" s="1"/>
  <c r="F25" i="16" s="1"/>
  <c r="G25" i="16" s="1"/>
  <c r="B20" i="16"/>
  <c r="B21" i="16"/>
  <c r="B22" i="16"/>
  <c r="B23" i="16"/>
  <c r="B24" i="16"/>
  <c r="B25" i="16"/>
  <c r="D5" i="16"/>
  <c r="E5" i="16" s="1"/>
  <c r="F5" i="16" s="1"/>
  <c r="G5" i="16" s="1"/>
  <c r="D6" i="16"/>
  <c r="E6" i="16" s="1"/>
  <c r="F6" i="16" s="1"/>
  <c r="G6" i="16" s="1"/>
  <c r="D7" i="16"/>
  <c r="E7" i="16" s="1"/>
  <c r="F7" i="16" s="1"/>
  <c r="G7" i="16" s="1"/>
  <c r="D8" i="16"/>
  <c r="E8" i="16" s="1"/>
  <c r="F8" i="16" s="1"/>
  <c r="G8" i="16" s="1"/>
  <c r="D9" i="16"/>
  <c r="E9" i="16" s="1"/>
  <c r="F9" i="16" s="1"/>
  <c r="G9" i="16" s="1"/>
  <c r="D10" i="16"/>
  <c r="E10" i="16" s="1"/>
  <c r="F10" i="16" s="1"/>
  <c r="G10" i="16" s="1"/>
  <c r="D11" i="16"/>
  <c r="E11" i="16" s="1"/>
  <c r="F11" i="16" s="1"/>
  <c r="G11" i="16" s="1"/>
  <c r="D12" i="16"/>
  <c r="E12" i="16" s="1"/>
  <c r="F12" i="16" s="1"/>
  <c r="G12" i="16" s="1"/>
  <c r="D14" i="16"/>
  <c r="E14" i="16" s="1"/>
  <c r="F14" i="16" s="1"/>
  <c r="G14" i="16" s="1"/>
  <c r="D15" i="16"/>
  <c r="E15" i="16" s="1"/>
  <c r="F15" i="16" s="1"/>
  <c r="B5" i="16"/>
  <c r="B6" i="16"/>
  <c r="B7" i="16"/>
  <c r="B8" i="16"/>
  <c r="B9" i="16"/>
  <c r="B10" i="16"/>
  <c r="B11" i="16"/>
  <c r="B12" i="16"/>
  <c r="B13" i="16"/>
  <c r="B14" i="16"/>
  <c r="B15" i="16"/>
  <c r="G31" i="8"/>
  <c r="G32" i="8"/>
  <c r="G33" i="8"/>
  <c r="G34" i="8"/>
  <c r="G35" i="8"/>
  <c r="G36" i="8"/>
  <c r="G37" i="8"/>
  <c r="G39" i="8"/>
  <c r="F31" i="8"/>
  <c r="F32" i="8"/>
  <c r="F33" i="8"/>
  <c r="F34" i="8"/>
  <c r="F35" i="8"/>
  <c r="F36" i="8"/>
  <c r="F37" i="8"/>
  <c r="F39" i="8"/>
  <c r="F40" i="8"/>
  <c r="E31" i="8"/>
  <c r="E32" i="8"/>
  <c r="E33" i="8"/>
  <c r="E34" i="8"/>
  <c r="E35" i="8"/>
  <c r="E36" i="8"/>
  <c r="E37" i="8"/>
  <c r="E39" i="8"/>
  <c r="E40" i="8"/>
  <c r="D30" i="8"/>
  <c r="D41" i="8" s="1"/>
  <c r="D31" i="8"/>
  <c r="D32" i="8"/>
  <c r="D33" i="8"/>
  <c r="D34" i="8"/>
  <c r="D35" i="8"/>
  <c r="D36" i="8"/>
  <c r="D37" i="8"/>
  <c r="D39" i="8"/>
  <c r="D40" i="8"/>
  <c r="E29" i="8"/>
  <c r="F29" i="8" s="1"/>
  <c r="G29" i="8" s="1"/>
  <c r="D29" i="8"/>
  <c r="G20" i="8"/>
  <c r="G21" i="8"/>
  <c r="G22" i="8"/>
  <c r="G24" i="8"/>
  <c r="G25" i="8"/>
  <c r="F20" i="8"/>
  <c r="F21" i="8"/>
  <c r="F22" i="8"/>
  <c r="F24" i="8"/>
  <c r="F25" i="8"/>
  <c r="E20" i="8"/>
  <c r="E21" i="8"/>
  <c r="E22" i="8"/>
  <c r="E24" i="8"/>
  <c r="E25" i="8"/>
  <c r="D20" i="8"/>
  <c r="D21" i="8"/>
  <c r="D22" i="8"/>
  <c r="D24" i="8"/>
  <c r="D25" i="8"/>
  <c r="E19" i="8"/>
  <c r="F19" i="8" s="1"/>
  <c r="G19" i="8" s="1"/>
  <c r="D19" i="8"/>
  <c r="G5" i="8"/>
  <c r="G6" i="8"/>
  <c r="G7" i="8"/>
  <c r="G8" i="8"/>
  <c r="G9" i="8"/>
  <c r="G10" i="8"/>
  <c r="G11" i="8"/>
  <c r="G12" i="8"/>
  <c r="G14" i="8"/>
  <c r="F5" i="8"/>
  <c r="F6" i="8"/>
  <c r="F7" i="8"/>
  <c r="F8" i="8"/>
  <c r="F9" i="8"/>
  <c r="F10" i="8"/>
  <c r="F11" i="8"/>
  <c r="F12" i="8"/>
  <c r="F14" i="8"/>
  <c r="F15" i="8"/>
  <c r="E5" i="8"/>
  <c r="E6" i="8"/>
  <c r="E7" i="8"/>
  <c r="E8" i="8"/>
  <c r="E9" i="8"/>
  <c r="E10" i="8"/>
  <c r="E11" i="8"/>
  <c r="E12" i="8"/>
  <c r="E14" i="8"/>
  <c r="E15" i="8"/>
  <c r="D5" i="8"/>
  <c r="D6" i="8"/>
  <c r="D7" i="8"/>
  <c r="D8" i="8"/>
  <c r="D9" i="8"/>
  <c r="D10" i="8"/>
  <c r="D11" i="8"/>
  <c r="D12" i="8"/>
  <c r="D14" i="8"/>
  <c r="D15" i="8"/>
  <c r="E4" i="8"/>
  <c r="F4" i="8" s="1"/>
  <c r="G4" i="8" s="1"/>
  <c r="D4" i="8"/>
  <c r="D54" i="8"/>
  <c r="D55" i="8"/>
  <c r="G56" i="8"/>
  <c r="G57" i="8"/>
  <c r="G58" i="8"/>
  <c r="G59" i="8"/>
  <c r="G60" i="8"/>
  <c r="G61" i="8"/>
  <c r="F56" i="8"/>
  <c r="F57" i="8"/>
  <c r="F58" i="8"/>
  <c r="F59" i="8"/>
  <c r="F60" i="8"/>
  <c r="F61" i="8"/>
  <c r="E55" i="8"/>
  <c r="F55" i="8" s="1"/>
  <c r="G55" i="8" s="1"/>
  <c r="E56" i="8"/>
  <c r="E57" i="8"/>
  <c r="E58" i="8"/>
  <c r="E59" i="8"/>
  <c r="E60" i="8"/>
  <c r="E61" i="8"/>
  <c r="D56" i="8"/>
  <c r="D57" i="8"/>
  <c r="D58" i="8"/>
  <c r="D59" i="8"/>
  <c r="D60" i="8"/>
  <c r="D61" i="8"/>
  <c r="B55" i="8"/>
  <c r="B56" i="8"/>
  <c r="B57" i="8"/>
  <c r="B58" i="8"/>
  <c r="B59" i="8"/>
  <c r="B60" i="8"/>
  <c r="B61" i="8"/>
  <c r="B62" i="8"/>
  <c r="B63" i="8"/>
  <c r="B64" i="8"/>
  <c r="B65" i="8"/>
  <c r="B66" i="8"/>
  <c r="D45" i="8"/>
  <c r="E45" i="8" s="1"/>
  <c r="F45" i="8" s="1"/>
  <c r="G45" i="8" s="1"/>
  <c r="D46" i="8"/>
  <c r="E46" i="8" s="1"/>
  <c r="F46" i="8" s="1"/>
  <c r="G46" i="8" s="1"/>
  <c r="D47" i="8"/>
  <c r="E47" i="8" s="1"/>
  <c r="F47" i="8" s="1"/>
  <c r="G47" i="8" s="1"/>
  <c r="B45" i="8"/>
  <c r="B46" i="8"/>
  <c r="B47" i="8"/>
  <c r="B48" i="8"/>
  <c r="B49" i="8"/>
  <c r="B50" i="8"/>
  <c r="B30" i="8"/>
  <c r="B31" i="8"/>
  <c r="B32" i="8"/>
  <c r="B33" i="8"/>
  <c r="B34" i="8"/>
  <c r="B35" i="8"/>
  <c r="B36" i="8"/>
  <c r="B37" i="8"/>
  <c r="B38" i="8"/>
  <c r="B39" i="8"/>
  <c r="B40" i="8"/>
  <c r="B20" i="8"/>
  <c r="B21" i="8"/>
  <c r="B22" i="8"/>
  <c r="B23" i="8"/>
  <c r="B24" i="8"/>
  <c r="B25" i="8"/>
  <c r="B15" i="8"/>
  <c r="B5" i="8"/>
  <c r="B6" i="8"/>
  <c r="B7" i="8"/>
  <c r="B8" i="8"/>
  <c r="B9" i="8"/>
  <c r="B10" i="8"/>
  <c r="B11" i="8"/>
  <c r="B12" i="8"/>
  <c r="B13" i="8"/>
  <c r="B14" i="8"/>
  <c r="G56" i="7"/>
  <c r="G57" i="7"/>
  <c r="G59" i="7"/>
  <c r="G60" i="7"/>
  <c r="G61" i="7"/>
  <c r="G64" i="7"/>
  <c r="G65" i="7"/>
  <c r="F56" i="7"/>
  <c r="F57" i="7"/>
  <c r="F59" i="7"/>
  <c r="F60" i="7"/>
  <c r="F61" i="7"/>
  <c r="F64" i="7"/>
  <c r="F65" i="7"/>
  <c r="E56" i="7"/>
  <c r="E57" i="7"/>
  <c r="E59" i="7"/>
  <c r="E60" i="7"/>
  <c r="E61" i="7"/>
  <c r="E62" i="7"/>
  <c r="F62" i="7" s="1"/>
  <c r="G62" i="7" s="1"/>
  <c r="E64" i="7"/>
  <c r="E65" i="7"/>
  <c r="D56" i="7"/>
  <c r="D57" i="7"/>
  <c r="D58" i="7"/>
  <c r="E58" i="7" s="1"/>
  <c r="F58" i="7" s="1"/>
  <c r="G58" i="7" s="1"/>
  <c r="D59" i="7"/>
  <c r="D60" i="7"/>
  <c r="D61" i="7"/>
  <c r="D62" i="7"/>
  <c r="D64" i="7"/>
  <c r="D65" i="7"/>
  <c r="B56" i="7"/>
  <c r="B57" i="7"/>
  <c r="B58" i="7"/>
  <c r="B59" i="7"/>
  <c r="B60" i="7"/>
  <c r="B61" i="7"/>
  <c r="B62" i="7"/>
  <c r="B63" i="7"/>
  <c r="B64" i="7"/>
  <c r="B65" i="7"/>
  <c r="E50" i="7"/>
  <c r="F50" i="7" s="1"/>
  <c r="G50" i="7" s="1"/>
  <c r="E51" i="7"/>
  <c r="F51" i="7" s="1"/>
  <c r="G51" i="7" s="1"/>
  <c r="D46" i="7"/>
  <c r="E46" i="7" s="1"/>
  <c r="F46" i="7" s="1"/>
  <c r="G46" i="7" s="1"/>
  <c r="D47" i="7"/>
  <c r="E47" i="7" s="1"/>
  <c r="F47" i="7" s="1"/>
  <c r="G47" i="7" s="1"/>
  <c r="D48" i="7"/>
  <c r="E48" i="7" s="1"/>
  <c r="F48" i="7" s="1"/>
  <c r="G48" i="7" s="1"/>
  <c r="D50" i="7"/>
  <c r="D51" i="7"/>
  <c r="E30" i="7"/>
  <c r="F30" i="7" s="1"/>
  <c r="E31" i="7"/>
  <c r="F31" i="7" s="1"/>
  <c r="G31" i="7" s="1"/>
  <c r="E40" i="7"/>
  <c r="F40" i="7" s="1"/>
  <c r="G40" i="7" s="1"/>
  <c r="E41" i="7"/>
  <c r="F41" i="7" s="1"/>
  <c r="D30" i="7"/>
  <c r="D31" i="7"/>
  <c r="D32" i="7"/>
  <c r="E32" i="7" s="1"/>
  <c r="F32" i="7" s="1"/>
  <c r="G32" i="7" s="1"/>
  <c r="D33" i="7"/>
  <c r="E33" i="7" s="1"/>
  <c r="F33" i="7" s="1"/>
  <c r="G33" i="7" s="1"/>
  <c r="D34" i="7"/>
  <c r="E34" i="7" s="1"/>
  <c r="F34" i="7" s="1"/>
  <c r="G34" i="7" s="1"/>
  <c r="D35" i="7"/>
  <c r="E35" i="7" s="1"/>
  <c r="F35" i="7" s="1"/>
  <c r="G35" i="7" s="1"/>
  <c r="D36" i="7"/>
  <c r="E36" i="7" s="1"/>
  <c r="F36" i="7" s="1"/>
  <c r="G36" i="7" s="1"/>
  <c r="D37" i="7"/>
  <c r="E37" i="7" s="1"/>
  <c r="F37" i="7" s="1"/>
  <c r="G37" i="7" s="1"/>
  <c r="D38" i="7"/>
  <c r="D42" i="7" s="1"/>
  <c r="D40" i="7"/>
  <c r="D41" i="7"/>
  <c r="B30" i="7"/>
  <c r="B31" i="7"/>
  <c r="B32" i="7"/>
  <c r="B33" i="7"/>
  <c r="B34" i="7"/>
  <c r="B35" i="7"/>
  <c r="B36" i="7"/>
  <c r="B37" i="7"/>
  <c r="B38" i="7"/>
  <c r="B39" i="7"/>
  <c r="B40" i="7"/>
  <c r="B41" i="7"/>
  <c r="D20" i="7"/>
  <c r="E20" i="7" s="1"/>
  <c r="F20" i="7" s="1"/>
  <c r="G20" i="7" s="1"/>
  <c r="D21" i="7"/>
  <c r="E21" i="7" s="1"/>
  <c r="F21" i="7" s="1"/>
  <c r="G21" i="7" s="1"/>
  <c r="D22" i="7"/>
  <c r="E22" i="7" s="1"/>
  <c r="F22" i="7" s="1"/>
  <c r="G22" i="7" s="1"/>
  <c r="D24" i="7"/>
  <c r="E24" i="7" s="1"/>
  <c r="F24" i="7" s="1"/>
  <c r="G24" i="7" s="1"/>
  <c r="D25" i="7"/>
  <c r="E25" i="7" s="1"/>
  <c r="F25" i="7" s="1"/>
  <c r="G25" i="7" s="1"/>
  <c r="D19" i="7"/>
  <c r="E19" i="7" s="1"/>
  <c r="F19" i="7" s="1"/>
  <c r="G19" i="7" s="1"/>
  <c r="B20" i="7"/>
  <c r="B21" i="7"/>
  <c r="B22" i="7"/>
  <c r="B23" i="7"/>
  <c r="B24" i="7"/>
  <c r="B25" i="7"/>
  <c r="D5" i="7"/>
  <c r="E5" i="7" s="1"/>
  <c r="F5" i="7" s="1"/>
  <c r="G5" i="7" s="1"/>
  <c r="D6" i="7"/>
  <c r="E6" i="7" s="1"/>
  <c r="F6" i="7" s="1"/>
  <c r="G6" i="7" s="1"/>
  <c r="D7" i="7"/>
  <c r="E7" i="7" s="1"/>
  <c r="F7" i="7" s="1"/>
  <c r="G7" i="7" s="1"/>
  <c r="D8" i="7"/>
  <c r="E8" i="7" s="1"/>
  <c r="F8" i="7" s="1"/>
  <c r="G8" i="7" s="1"/>
  <c r="D9" i="7"/>
  <c r="E9" i="7" s="1"/>
  <c r="F9" i="7" s="1"/>
  <c r="G9" i="7" s="1"/>
  <c r="D10" i="7"/>
  <c r="E10" i="7" s="1"/>
  <c r="F10" i="7" s="1"/>
  <c r="G10" i="7" s="1"/>
  <c r="D11" i="7"/>
  <c r="E11" i="7" s="1"/>
  <c r="F11" i="7" s="1"/>
  <c r="G11" i="7" s="1"/>
  <c r="D12" i="7"/>
  <c r="E12" i="7" s="1"/>
  <c r="F12" i="7" s="1"/>
  <c r="G12" i="7" s="1"/>
  <c r="D14" i="7"/>
  <c r="E14" i="7" s="1"/>
  <c r="F14" i="7" s="1"/>
  <c r="G14" i="7" s="1"/>
  <c r="D15" i="7"/>
  <c r="E15" i="7" s="1"/>
  <c r="F15" i="7" s="1"/>
  <c r="B5" i="7"/>
  <c r="B6" i="7"/>
  <c r="B7" i="7"/>
  <c r="B8" i="7"/>
  <c r="B9" i="7"/>
  <c r="B10" i="7"/>
  <c r="B11" i="7"/>
  <c r="B12" i="7"/>
  <c r="B13" i="7"/>
  <c r="B14" i="7"/>
  <c r="B15" i="7"/>
  <c r="G57" i="6"/>
  <c r="G60" i="6"/>
  <c r="G61" i="6"/>
  <c r="F57" i="6"/>
  <c r="F60" i="6"/>
  <c r="F61" i="6"/>
  <c r="E57" i="6"/>
  <c r="E60" i="6"/>
  <c r="E61" i="6"/>
  <c r="D56" i="6"/>
  <c r="E56" i="6" s="1"/>
  <c r="F56" i="6" s="1"/>
  <c r="G56" i="6" s="1"/>
  <c r="D57" i="6"/>
  <c r="D58" i="6"/>
  <c r="E58" i="6" s="1"/>
  <c r="F58" i="6" s="1"/>
  <c r="G58" i="6" s="1"/>
  <c r="D59" i="6"/>
  <c r="E59" i="6" s="1"/>
  <c r="F59" i="6" s="1"/>
  <c r="G59" i="6" s="1"/>
  <c r="D60" i="6"/>
  <c r="D61" i="6"/>
  <c r="B56" i="6"/>
  <c r="B57" i="6"/>
  <c r="B58" i="6"/>
  <c r="B59" i="6"/>
  <c r="B60" i="6"/>
  <c r="B61" i="6"/>
  <c r="B62" i="6"/>
  <c r="B63" i="6"/>
  <c r="B64" i="6"/>
  <c r="B65" i="6"/>
  <c r="E51" i="6"/>
  <c r="F51" i="6" s="1"/>
  <c r="G51" i="6" s="1"/>
  <c r="D46" i="6"/>
  <c r="E46" i="6" s="1"/>
  <c r="F46" i="6" s="1"/>
  <c r="G46" i="6" s="1"/>
  <c r="D47" i="6"/>
  <c r="E47" i="6" s="1"/>
  <c r="F47" i="6" s="1"/>
  <c r="G47" i="6" s="1"/>
  <c r="D48" i="6"/>
  <c r="E48" i="6" s="1"/>
  <c r="F48" i="6" s="1"/>
  <c r="G48" i="6" s="1"/>
  <c r="D50" i="6"/>
  <c r="E50" i="6" s="1"/>
  <c r="F50" i="6" s="1"/>
  <c r="G50" i="6" s="1"/>
  <c r="D51" i="6"/>
  <c r="B46" i="6"/>
  <c r="B47" i="6"/>
  <c r="E31" i="6"/>
  <c r="F31" i="6" s="1"/>
  <c r="G31" i="6" s="1"/>
  <c r="E34" i="6"/>
  <c r="F34" i="6" s="1"/>
  <c r="G34" i="6" s="1"/>
  <c r="E40" i="6"/>
  <c r="F40" i="6" s="1"/>
  <c r="G40" i="6" s="1"/>
  <c r="D31" i="6"/>
  <c r="D32" i="6"/>
  <c r="E32" i="6" s="1"/>
  <c r="F32" i="6" s="1"/>
  <c r="G32" i="6" s="1"/>
  <c r="D33" i="6"/>
  <c r="E33" i="6" s="1"/>
  <c r="F33" i="6" s="1"/>
  <c r="G33" i="6" s="1"/>
  <c r="D34" i="6"/>
  <c r="D35" i="6"/>
  <c r="E35" i="6" s="1"/>
  <c r="F35" i="6" s="1"/>
  <c r="G35" i="6" s="1"/>
  <c r="D36" i="6"/>
  <c r="E36" i="6" s="1"/>
  <c r="F36" i="6" s="1"/>
  <c r="G36" i="6" s="1"/>
  <c r="D37" i="6"/>
  <c r="E37" i="6" s="1"/>
  <c r="F37" i="6" s="1"/>
  <c r="G37" i="6" s="1"/>
  <c r="D38" i="6"/>
  <c r="E38" i="6" s="1"/>
  <c r="F38" i="6" s="1"/>
  <c r="G38" i="6" s="1"/>
  <c r="D40" i="6"/>
  <c r="D41" i="6"/>
  <c r="E41" i="6" s="1"/>
  <c r="F41" i="6" s="1"/>
  <c r="B31" i="6"/>
  <c r="B32" i="6"/>
  <c r="B33" i="6"/>
  <c r="B34" i="6"/>
  <c r="B35" i="6"/>
  <c r="B36" i="6"/>
  <c r="B37" i="6"/>
  <c r="B38" i="6"/>
  <c r="B39" i="6"/>
  <c r="B40" i="6"/>
  <c r="B41" i="6"/>
  <c r="D21" i="6"/>
  <c r="E21" i="6" s="1"/>
  <c r="F21" i="6" s="1"/>
  <c r="G21" i="6" s="1"/>
  <c r="D22" i="6"/>
  <c r="E22" i="6" s="1"/>
  <c r="F22" i="6" s="1"/>
  <c r="G22" i="6" s="1"/>
  <c r="D23" i="6"/>
  <c r="E23" i="6" s="1"/>
  <c r="F23" i="6" s="1"/>
  <c r="G23" i="6" s="1"/>
  <c r="D25" i="6"/>
  <c r="E25" i="6" s="1"/>
  <c r="F25" i="6" s="1"/>
  <c r="G25" i="6" s="1"/>
  <c r="D26" i="6"/>
  <c r="E26" i="6" s="1"/>
  <c r="F26" i="6" s="1"/>
  <c r="G26" i="6" s="1"/>
  <c r="B21" i="6"/>
  <c r="B22" i="6"/>
  <c r="B23" i="6"/>
  <c r="B24" i="6"/>
  <c r="B25" i="6"/>
  <c r="B26" i="6"/>
  <c r="G5" i="6"/>
  <c r="D5" i="6"/>
  <c r="E5" i="6" s="1"/>
  <c r="D6" i="6"/>
  <c r="E6" i="6" s="1"/>
  <c r="F6" i="6" s="1"/>
  <c r="D7" i="6"/>
  <c r="E7" i="6" s="1"/>
  <c r="F7" i="6" s="1"/>
  <c r="G7" i="6" s="1"/>
  <c r="D8" i="6"/>
  <c r="E8" i="6" s="1"/>
  <c r="F8" i="6" s="1"/>
  <c r="G8" i="6" s="1"/>
  <c r="D9" i="6"/>
  <c r="E9" i="6" s="1"/>
  <c r="F9" i="6" s="1"/>
  <c r="G9" i="6" s="1"/>
  <c r="D10" i="6"/>
  <c r="E10" i="6" s="1"/>
  <c r="F10" i="6" s="1"/>
  <c r="G10" i="6" s="1"/>
  <c r="D11" i="6"/>
  <c r="E11" i="6" s="1"/>
  <c r="F11" i="6" s="1"/>
  <c r="G11" i="6" s="1"/>
  <c r="D12" i="6"/>
  <c r="E12" i="6" s="1"/>
  <c r="F12" i="6" s="1"/>
  <c r="G12" i="6" s="1"/>
  <c r="D13" i="6"/>
  <c r="E13" i="6" s="1"/>
  <c r="F13" i="6" s="1"/>
  <c r="G13" i="6" s="1"/>
  <c r="D15" i="6"/>
  <c r="E15" i="6" s="1"/>
  <c r="F15" i="6" s="1"/>
  <c r="G15" i="6" s="1"/>
  <c r="D16" i="6"/>
  <c r="E16" i="6" s="1"/>
  <c r="F16" i="6" s="1"/>
  <c r="B5" i="6"/>
  <c r="B6" i="6"/>
  <c r="B7" i="6"/>
  <c r="B8" i="6"/>
  <c r="B9" i="6"/>
  <c r="B10" i="6"/>
  <c r="B11" i="6"/>
  <c r="B12" i="6"/>
  <c r="B13" i="6"/>
  <c r="B14" i="6"/>
  <c r="B15" i="6"/>
  <c r="B16" i="6"/>
  <c r="B46" i="7"/>
  <c r="B47" i="7"/>
  <c r="B48" i="7"/>
  <c r="B49" i="7"/>
  <c r="B50" i="7"/>
  <c r="B51" i="7"/>
  <c r="E42" i="15"/>
  <c r="F42" i="15"/>
  <c r="G42" i="15"/>
  <c r="D42" i="15"/>
  <c r="E41" i="4"/>
  <c r="F41" i="4"/>
  <c r="G41" i="4"/>
  <c r="D41" i="4"/>
  <c r="E42" i="3"/>
  <c r="F42" i="3"/>
  <c r="G42" i="3"/>
  <c r="D42" i="3"/>
  <c r="E17" i="5"/>
  <c r="F17" i="5"/>
  <c r="G17" i="5"/>
  <c r="D17" i="5"/>
  <c r="G30" i="10" l="1"/>
  <c r="D42" i="16"/>
  <c r="E42" i="16"/>
  <c r="E30" i="8"/>
  <c r="F30" i="8" s="1"/>
  <c r="G30" i="8" s="1"/>
  <c r="G41" i="8" s="1"/>
  <c r="E41" i="8"/>
  <c r="E38" i="7"/>
  <c r="G30" i="7"/>
  <c r="D17" i="6"/>
  <c r="E17" i="6"/>
  <c r="G67" i="3"/>
  <c r="F67" i="3"/>
  <c r="E67" i="3"/>
  <c r="D67" i="3"/>
  <c r="G67" i="7"/>
  <c r="F67" i="7"/>
  <c r="E67" i="7"/>
  <c r="D67" i="7"/>
  <c r="F41" i="8" l="1"/>
  <c r="F38" i="7"/>
  <c r="E42" i="7"/>
  <c r="F17" i="6"/>
  <c r="G17" i="6"/>
  <c r="G68" i="17"/>
  <c r="F68" i="17"/>
  <c r="E68" i="17"/>
  <c r="D68" i="17"/>
  <c r="G52" i="17"/>
  <c r="F52" i="17"/>
  <c r="E52" i="17"/>
  <c r="D52" i="17"/>
  <c r="G27" i="17"/>
  <c r="F27" i="17"/>
  <c r="E27" i="17"/>
  <c r="D27" i="17"/>
  <c r="G17" i="17"/>
  <c r="F17" i="17"/>
  <c r="E17" i="17"/>
  <c r="D17" i="17"/>
  <c r="G68" i="11"/>
  <c r="F68" i="11"/>
  <c r="E68" i="11"/>
  <c r="D68" i="11"/>
  <c r="G52" i="11"/>
  <c r="F52" i="11"/>
  <c r="E52" i="11"/>
  <c r="D52" i="11"/>
  <c r="G42" i="11"/>
  <c r="F42" i="11"/>
  <c r="E42" i="11"/>
  <c r="D42" i="11"/>
  <c r="G27" i="11"/>
  <c r="F27" i="11"/>
  <c r="E27" i="11"/>
  <c r="D27" i="11"/>
  <c r="G17" i="11"/>
  <c r="F17" i="11"/>
  <c r="E17" i="11"/>
  <c r="D17" i="11"/>
  <c r="G53" i="10"/>
  <c r="F53" i="10"/>
  <c r="E53" i="10"/>
  <c r="D53" i="10"/>
  <c r="G43" i="10"/>
  <c r="F43" i="10"/>
  <c r="E43" i="10"/>
  <c r="D43" i="10"/>
  <c r="G27" i="10"/>
  <c r="F27" i="10"/>
  <c r="E27" i="10"/>
  <c r="D27" i="10"/>
  <c r="G17" i="10"/>
  <c r="F17" i="10"/>
  <c r="E17" i="10"/>
  <c r="D17" i="10"/>
  <c r="G67" i="9"/>
  <c r="F67" i="9"/>
  <c r="E67" i="9"/>
  <c r="D67" i="9"/>
  <c r="G53" i="9"/>
  <c r="F53" i="9"/>
  <c r="E53" i="9"/>
  <c r="D53" i="9"/>
  <c r="G43" i="9"/>
  <c r="F43" i="9"/>
  <c r="E43" i="9"/>
  <c r="D43" i="9"/>
  <c r="G28" i="9"/>
  <c r="F28" i="9"/>
  <c r="E28" i="9"/>
  <c r="D28" i="9"/>
  <c r="G18" i="9"/>
  <c r="F18" i="9"/>
  <c r="E18" i="9"/>
  <c r="D18" i="9"/>
  <c r="G68" i="16"/>
  <c r="F68" i="16"/>
  <c r="E68" i="16"/>
  <c r="D68" i="16"/>
  <c r="G52" i="16"/>
  <c r="F52" i="16"/>
  <c r="E52" i="16"/>
  <c r="D52" i="16"/>
  <c r="G43" i="16"/>
  <c r="F43" i="16"/>
  <c r="E43" i="16"/>
  <c r="D43" i="16"/>
  <c r="G27" i="16"/>
  <c r="F27" i="16"/>
  <c r="E27" i="16"/>
  <c r="D27" i="16"/>
  <c r="G17" i="16"/>
  <c r="F17" i="16"/>
  <c r="E17" i="16"/>
  <c r="D17" i="16"/>
  <c r="G68" i="8"/>
  <c r="F68" i="8"/>
  <c r="E68" i="8"/>
  <c r="D68" i="8"/>
  <c r="G52" i="8"/>
  <c r="F52" i="8"/>
  <c r="E52" i="8"/>
  <c r="D52" i="8"/>
  <c r="G42" i="8"/>
  <c r="F42" i="8"/>
  <c r="E42" i="8"/>
  <c r="D42" i="8"/>
  <c r="G27" i="8"/>
  <c r="F27" i="8"/>
  <c r="E27" i="8"/>
  <c r="D27" i="8"/>
  <c r="G17" i="8"/>
  <c r="F17" i="8"/>
  <c r="E17" i="8"/>
  <c r="D17" i="8"/>
  <c r="G53" i="7"/>
  <c r="F53" i="7"/>
  <c r="E53" i="7"/>
  <c r="D53" i="7"/>
  <c r="G43" i="7"/>
  <c r="F43" i="7"/>
  <c r="E43" i="7"/>
  <c r="D43" i="7"/>
  <c r="G27" i="7"/>
  <c r="F27" i="7"/>
  <c r="E27" i="7"/>
  <c r="D27" i="7"/>
  <c r="G17" i="7"/>
  <c r="F17" i="7"/>
  <c r="E17" i="7"/>
  <c r="D17" i="7"/>
  <c r="G67" i="6"/>
  <c r="F67" i="6"/>
  <c r="E67" i="6"/>
  <c r="D67" i="6"/>
  <c r="G53" i="6"/>
  <c r="F53" i="6"/>
  <c r="E53" i="6"/>
  <c r="D53" i="6"/>
  <c r="G43" i="6"/>
  <c r="F43" i="6"/>
  <c r="E43" i="6"/>
  <c r="D43" i="6"/>
  <c r="G28" i="6"/>
  <c r="F28" i="6"/>
  <c r="E28" i="6"/>
  <c r="D28" i="6"/>
  <c r="G18" i="6"/>
  <c r="F18" i="6"/>
  <c r="E18" i="6"/>
  <c r="D18" i="6"/>
  <c r="B55" i="9"/>
  <c r="G38" i="7" l="1"/>
  <c r="G42" i="7" s="1"/>
  <c r="F42" i="7"/>
  <c r="D49" i="11" l="1"/>
  <c r="E49" i="11" s="1"/>
  <c r="F49" i="11" s="1"/>
  <c r="G49" i="11" s="1"/>
  <c r="D50" i="11"/>
  <c r="E50" i="11" s="1"/>
  <c r="F50" i="11" s="1"/>
  <c r="G50" i="11" s="1"/>
  <c r="D39" i="11"/>
  <c r="E39" i="11" s="1"/>
  <c r="F39" i="11" s="1"/>
  <c r="G39" i="11" s="1"/>
  <c r="D40" i="11"/>
  <c r="E40" i="11" s="1"/>
  <c r="F40" i="11" s="1"/>
  <c r="G40" i="11" s="1"/>
  <c r="D40" i="10"/>
  <c r="D41" i="10"/>
  <c r="E41" i="10" s="1"/>
  <c r="F41" i="10" s="1"/>
  <c r="D14" i="10"/>
  <c r="E14" i="10" s="1"/>
  <c r="F14" i="10" s="1"/>
  <c r="G14" i="10" s="1"/>
  <c r="D15" i="10"/>
  <c r="E15" i="10" s="1"/>
  <c r="F15" i="10" s="1"/>
  <c r="F41" i="16"/>
  <c r="G41" i="16" s="1"/>
  <c r="D62" i="8"/>
  <c r="D64" i="8"/>
  <c r="E64" i="8" s="1"/>
  <c r="F64" i="8" s="1"/>
  <c r="G64" i="8" s="1"/>
  <c r="D65" i="8"/>
  <c r="E65" i="8" s="1"/>
  <c r="F65" i="8" s="1"/>
  <c r="G65" i="8" s="1"/>
  <c r="D66" i="8"/>
  <c r="E66" i="8" s="1"/>
  <c r="F66" i="8" s="1"/>
  <c r="G66" i="8" s="1"/>
  <c r="D49" i="8"/>
  <c r="E49" i="8" s="1"/>
  <c r="F49" i="8" s="1"/>
  <c r="G49" i="8" s="1"/>
  <c r="D50" i="8"/>
  <c r="E50" i="8" s="1"/>
  <c r="F50" i="8" s="1"/>
  <c r="G50" i="8" s="1"/>
  <c r="D55" i="7"/>
  <c r="E55" i="7" s="1"/>
  <c r="F55" i="7" s="1"/>
  <c r="G55" i="7" s="1"/>
  <c r="D45" i="7"/>
  <c r="E45" i="7" s="1"/>
  <c r="F45" i="7" s="1"/>
  <c r="G45" i="7" s="1"/>
  <c r="D63" i="6"/>
  <c r="E63" i="6" s="1"/>
  <c r="F63" i="6" s="1"/>
  <c r="G63" i="6" s="1"/>
  <c r="D64" i="6"/>
  <c r="E64" i="6" s="1"/>
  <c r="F64" i="6" s="1"/>
  <c r="G64" i="6" s="1"/>
  <c r="D65" i="6"/>
  <c r="E65" i="6" s="1"/>
  <c r="F65" i="6" s="1"/>
  <c r="G65" i="6" s="1"/>
  <c r="B48" i="6"/>
  <c r="B49" i="6"/>
  <c r="B50" i="6"/>
  <c r="B51" i="6"/>
  <c r="E40" i="10" l="1"/>
  <c r="D42" i="10"/>
  <c r="E62" i="8"/>
  <c r="F62" i="8" s="1"/>
  <c r="G62" i="8" s="1"/>
  <c r="E27" i="5"/>
  <c r="F27" i="5"/>
  <c r="G27" i="5"/>
  <c r="D27" i="5"/>
  <c r="E66" i="5"/>
  <c r="F66" i="5"/>
  <c r="G66" i="5"/>
  <c r="F42" i="5"/>
  <c r="G42" i="5"/>
  <c r="E42" i="5"/>
  <c r="D42" i="5"/>
  <c r="F40" i="10" l="1"/>
  <c r="E42" i="10"/>
  <c r="D4" i="6"/>
  <c r="E4" i="6" s="1"/>
  <c r="F4" i="6" s="1"/>
  <c r="G4" i="6" s="1"/>
  <c r="B4" i="10"/>
  <c r="D50" i="17"/>
  <c r="E50" i="17" s="1"/>
  <c r="F50" i="17" s="1"/>
  <c r="G50" i="17" s="1"/>
  <c r="D40" i="17"/>
  <c r="E40" i="17" s="1"/>
  <c r="F40" i="17" s="1"/>
  <c r="G40" i="17" s="1"/>
  <c r="D41" i="17"/>
  <c r="E41" i="17" s="1"/>
  <c r="F41" i="17" s="1"/>
  <c r="G41" i="17" s="1"/>
  <c r="D14" i="17"/>
  <c r="E14" i="17" s="1"/>
  <c r="F14" i="17" s="1"/>
  <c r="G14" i="17" s="1"/>
  <c r="D15" i="17"/>
  <c r="E15" i="17" s="1"/>
  <c r="F15" i="17" s="1"/>
  <c r="D4" i="16"/>
  <c r="E4" i="16" s="1"/>
  <c r="F4" i="16" s="1"/>
  <c r="G4" i="16" s="1"/>
  <c r="B19" i="10"/>
  <c r="D29" i="7"/>
  <c r="E29" i="7" s="1"/>
  <c r="F29" i="7" s="1"/>
  <c r="G29" i="7" s="1"/>
  <c r="B4" i="7"/>
  <c r="A2" i="17"/>
  <c r="D16" i="3"/>
  <c r="E52" i="5"/>
  <c r="G52" i="5"/>
  <c r="G40" i="10" l="1"/>
  <c r="G42" i="10" s="1"/>
  <c r="F42" i="10"/>
  <c r="F52" i="5"/>
  <c r="A2" i="16"/>
  <c r="D52" i="5"/>
  <c r="D26" i="15"/>
  <c r="E26" i="15"/>
  <c r="F26" i="15"/>
  <c r="G26" i="15"/>
  <c r="D16" i="15"/>
  <c r="E16" i="15"/>
  <c r="F16" i="15"/>
  <c r="G16" i="15"/>
  <c r="G40" i="8" l="1"/>
  <c r="D54" i="17"/>
  <c r="E54" i="17" s="1"/>
  <c r="F54" i="17" s="1"/>
  <c r="G54" i="17" s="1"/>
  <c r="D45" i="17"/>
  <c r="E45" i="17" s="1"/>
  <c r="F45" i="17" s="1"/>
  <c r="G45" i="17" s="1"/>
  <c r="D29" i="17"/>
  <c r="E29" i="17" s="1"/>
  <c r="F29" i="17" s="1"/>
  <c r="G29" i="17" s="1"/>
  <c r="D19" i="17"/>
  <c r="E19" i="17" s="1"/>
  <c r="F19" i="17" s="1"/>
  <c r="G19" i="17" s="1"/>
  <c r="D4" i="17"/>
  <c r="E4" i="17" s="1"/>
  <c r="F4" i="17" s="1"/>
  <c r="G4" i="17" s="1"/>
  <c r="D45" i="10"/>
  <c r="G26" i="3"/>
  <c r="D54" i="16"/>
  <c r="E54" i="16" s="1"/>
  <c r="F54" i="16" s="1"/>
  <c r="G54" i="16" s="1"/>
  <c r="D45" i="16"/>
  <c r="E45" i="16" s="1"/>
  <c r="F45" i="16" s="1"/>
  <c r="G45" i="16" s="1"/>
  <c r="D29" i="16"/>
  <c r="E29" i="16" s="1"/>
  <c r="F29" i="16" s="1"/>
  <c r="G29" i="16" s="1"/>
  <c r="B54" i="17"/>
  <c r="B45" i="17"/>
  <c r="B29" i="17"/>
  <c r="B19" i="17"/>
  <c r="B4" i="17"/>
  <c r="B54" i="16"/>
  <c r="B45" i="16"/>
  <c r="B29" i="16"/>
  <c r="B19" i="16"/>
  <c r="B4" i="16"/>
  <c r="D19" i="16"/>
  <c r="E19" i="16" s="1"/>
  <c r="F19" i="16" s="1"/>
  <c r="G19" i="16" s="1"/>
  <c r="G67" i="15"/>
  <c r="F67" i="15"/>
  <c r="E67" i="15"/>
  <c r="D67" i="15"/>
  <c r="G51" i="15"/>
  <c r="F51" i="15"/>
  <c r="E51" i="15"/>
  <c r="D51" i="15"/>
  <c r="G67" i="17" l="1"/>
  <c r="E67" i="17"/>
  <c r="E45" i="10"/>
  <c r="F45" i="10" s="1"/>
  <c r="G45" i="10" s="1"/>
  <c r="E69" i="15"/>
  <c r="F69" i="15"/>
  <c r="D69" i="15"/>
  <c r="G69" i="15"/>
  <c r="G51" i="16"/>
  <c r="D51" i="16"/>
  <c r="F16" i="17"/>
  <c r="E51" i="17"/>
  <c r="E16" i="17"/>
  <c r="D16" i="17"/>
  <c r="F26" i="16"/>
  <c r="G16" i="17"/>
  <c r="D67" i="17"/>
  <c r="F51" i="17"/>
  <c r="D51" i="17"/>
  <c r="G51" i="17"/>
  <c r="E51" i="16"/>
  <c r="F42" i="17"/>
  <c r="D42" i="17"/>
  <c r="E42" i="17"/>
  <c r="G42" i="17"/>
  <c r="F26" i="17"/>
  <c r="G26" i="17"/>
  <c r="E26" i="16"/>
  <c r="E26" i="17"/>
  <c r="D26" i="16"/>
  <c r="D26" i="17"/>
  <c r="G16" i="16"/>
  <c r="F67" i="16"/>
  <c r="G67" i="16" s="1"/>
  <c r="D67" i="16"/>
  <c r="E67" i="16"/>
  <c r="E16" i="16"/>
  <c r="D16" i="16"/>
  <c r="F16" i="16"/>
  <c r="G26" i="16"/>
  <c r="F51" i="16"/>
  <c r="D44" i="11"/>
  <c r="E44" i="11" s="1"/>
  <c r="F44" i="11" s="1"/>
  <c r="G44" i="11" s="1"/>
  <c r="D19" i="11"/>
  <c r="E19" i="11" s="1"/>
  <c r="F19" i="11" s="1"/>
  <c r="G19" i="11" s="1"/>
  <c r="D19" i="10"/>
  <c r="D45" i="9"/>
  <c r="E45" i="9" s="1"/>
  <c r="F45" i="9" s="1"/>
  <c r="G45" i="9" s="1"/>
  <c r="D20" i="9"/>
  <c r="E20" i="9" s="1"/>
  <c r="E54" i="8"/>
  <c r="F54" i="8" s="1"/>
  <c r="G54" i="8" s="1"/>
  <c r="B44" i="11"/>
  <c r="B19" i="11"/>
  <c r="B45" i="10"/>
  <c r="B45" i="9"/>
  <c r="B20" i="9"/>
  <c r="F20" i="9" l="1"/>
  <c r="G20" i="9" s="1"/>
  <c r="E27" i="9"/>
  <c r="E69" i="17"/>
  <c r="F67" i="17"/>
  <c r="F69" i="17" s="1"/>
  <c r="E19" i="10"/>
  <c r="D26" i="10"/>
  <c r="G69" i="17"/>
  <c r="D69" i="17"/>
  <c r="F69" i="16"/>
  <c r="D69" i="16"/>
  <c r="E69" i="16"/>
  <c r="G69" i="16"/>
  <c r="D67" i="8"/>
  <c r="F19" i="10" l="1"/>
  <c r="E26" i="10"/>
  <c r="D54" i="11"/>
  <c r="E54" i="11" s="1"/>
  <c r="F54" i="11" s="1"/>
  <c r="G54" i="11" s="1"/>
  <c r="B54" i="11"/>
  <c r="D29" i="11"/>
  <c r="E29" i="11" s="1"/>
  <c r="F29" i="11" s="1"/>
  <c r="G29" i="11" s="1"/>
  <c r="B29" i="11"/>
  <c r="D4" i="11"/>
  <c r="E4" i="11" s="1"/>
  <c r="F4" i="11" s="1"/>
  <c r="G4" i="11" s="1"/>
  <c r="B4" i="11"/>
  <c r="A2" i="11"/>
  <c r="D55" i="10"/>
  <c r="E55" i="10" s="1"/>
  <c r="F55" i="10" s="1"/>
  <c r="G55" i="10" s="1"/>
  <c r="B55" i="10"/>
  <c r="D29" i="10"/>
  <c r="E29" i="10" s="1"/>
  <c r="F29" i="10" s="1"/>
  <c r="G29" i="10" s="1"/>
  <c r="B29" i="10"/>
  <c r="D4" i="10"/>
  <c r="E4" i="10" s="1"/>
  <c r="F4" i="10" s="1"/>
  <c r="G4" i="10" s="1"/>
  <c r="A2" i="10"/>
  <c r="D55" i="9"/>
  <c r="E55" i="9" s="1"/>
  <c r="F55" i="9" s="1"/>
  <c r="G55" i="9" s="1"/>
  <c r="D30" i="9"/>
  <c r="E30" i="9" s="1"/>
  <c r="F30" i="9" s="1"/>
  <c r="G30" i="9" s="1"/>
  <c r="B30" i="9"/>
  <c r="D4" i="9"/>
  <c r="E4" i="9" s="1"/>
  <c r="F4" i="9" s="1"/>
  <c r="G4" i="9" s="1"/>
  <c r="B4" i="9"/>
  <c r="A2" i="9"/>
  <c r="G19" i="10" l="1"/>
  <c r="G26" i="10" s="1"/>
  <c r="F26" i="10"/>
  <c r="D66" i="9"/>
  <c r="D52" i="10"/>
  <c r="D52" i="9"/>
  <c r="D16" i="10"/>
  <c r="E41" i="11"/>
  <c r="F67" i="11"/>
  <c r="E51" i="11"/>
  <c r="E26" i="11"/>
  <c r="D16" i="11"/>
  <c r="D41" i="11"/>
  <c r="D67" i="11"/>
  <c r="D26" i="11"/>
  <c r="D51" i="11"/>
  <c r="G67" i="11"/>
  <c r="E67" i="11"/>
  <c r="D66" i="10"/>
  <c r="E42" i="9"/>
  <c r="D42" i="9"/>
  <c r="D27" i="9"/>
  <c r="D68" i="10" l="1"/>
  <c r="D69" i="11"/>
  <c r="E66" i="10"/>
  <c r="D68" i="9"/>
  <c r="E16" i="11"/>
  <c r="E69" i="11" s="1"/>
  <c r="F41" i="11"/>
  <c r="E52" i="9"/>
  <c r="F16" i="11"/>
  <c r="G16" i="11"/>
  <c r="F26" i="11"/>
  <c r="G26" i="11"/>
  <c r="G41" i="11"/>
  <c r="F51" i="11"/>
  <c r="G51" i="11"/>
  <c r="E16" i="10"/>
  <c r="E52" i="10"/>
  <c r="F27" i="9"/>
  <c r="G27" i="9"/>
  <c r="E66" i="9"/>
  <c r="F42" i="9"/>
  <c r="G42" i="9"/>
  <c r="G52" i="9"/>
  <c r="F52" i="9"/>
  <c r="G69" i="11" l="1"/>
  <c r="E68" i="10"/>
  <c r="F69" i="11"/>
  <c r="F66" i="10"/>
  <c r="E68" i="9"/>
  <c r="F52" i="10"/>
  <c r="G52" i="10"/>
  <c r="G16" i="10"/>
  <c r="F16" i="10"/>
  <c r="G66" i="9"/>
  <c r="G68" i="9" s="1"/>
  <c r="F66" i="9"/>
  <c r="F68" i="9" s="1"/>
  <c r="D67" i="4"/>
  <c r="F68" i="10" l="1"/>
  <c r="G66" i="10"/>
  <c r="G68" i="10" s="1"/>
  <c r="D30" i="6"/>
  <c r="E30" i="6" l="1"/>
  <c r="F30" i="6" s="1"/>
  <c r="G30" i="6" s="1"/>
  <c r="D42" i="6"/>
  <c r="B55" i="6"/>
  <c r="D55" i="6"/>
  <c r="E55" i="6" s="1"/>
  <c r="F55" i="6" s="1"/>
  <c r="G55" i="6" s="1"/>
  <c r="D66" i="5"/>
  <c r="G66" i="6" l="1"/>
  <c r="D66" i="6"/>
  <c r="A2" i="8"/>
  <c r="A2" i="7"/>
  <c r="A2" i="6"/>
  <c r="F66" i="6" l="1"/>
  <c r="E66" i="6"/>
  <c r="D66" i="3" l="1"/>
  <c r="B19" i="7" l="1"/>
  <c r="B54" i="8"/>
  <c r="B44" i="8"/>
  <c r="B29" i="8"/>
  <c r="B19" i="8"/>
  <c r="B4" i="8"/>
  <c r="D44" i="8"/>
  <c r="E44" i="8" s="1"/>
  <c r="F44" i="8" s="1"/>
  <c r="G44" i="8" s="1"/>
  <c r="D4" i="7"/>
  <c r="E4" i="7" s="1"/>
  <c r="F4" i="7" s="1"/>
  <c r="B55" i="7"/>
  <c r="B45" i="7"/>
  <c r="B29" i="7"/>
  <c r="D45" i="6"/>
  <c r="E45" i="6" s="1"/>
  <c r="F45" i="6" s="1"/>
  <c r="G45" i="6" s="1"/>
  <c r="D20" i="6"/>
  <c r="E20" i="6" s="1"/>
  <c r="F20" i="6" s="1"/>
  <c r="G20" i="6" s="1"/>
  <c r="B45" i="6"/>
  <c r="B30" i="6"/>
  <c r="B20" i="6"/>
  <c r="B4" i="6"/>
  <c r="G4" i="7" l="1"/>
  <c r="F16" i="7"/>
  <c r="D16" i="8"/>
  <c r="D26" i="8"/>
  <c r="D16" i="7"/>
  <c r="D52" i="6"/>
  <c r="E16" i="8" l="1"/>
  <c r="E26" i="8"/>
  <c r="E67" i="8"/>
  <c r="E16" i="7"/>
  <c r="G16" i="8" l="1"/>
  <c r="F16" i="8"/>
  <c r="G26" i="8"/>
  <c r="F26" i="8"/>
  <c r="G67" i="8"/>
  <c r="F67" i="8"/>
  <c r="G16" i="7"/>
  <c r="G51" i="8" l="1"/>
  <c r="F51" i="8"/>
  <c r="E51" i="8"/>
  <c r="D51" i="8"/>
  <c r="D16" i="4"/>
  <c r="E16" i="4"/>
  <c r="F16" i="4"/>
  <c r="G16" i="4"/>
  <c r="D26" i="4"/>
  <c r="E26" i="4"/>
  <c r="F26" i="4"/>
  <c r="G26" i="4"/>
  <c r="D51" i="4"/>
  <c r="E51" i="4"/>
  <c r="F51" i="4"/>
  <c r="G51" i="4"/>
  <c r="E67" i="4"/>
  <c r="F67" i="4"/>
  <c r="G67" i="4"/>
  <c r="G66" i="7"/>
  <c r="F66" i="7"/>
  <c r="E66" i="7"/>
  <c r="D66" i="7"/>
  <c r="G52" i="7"/>
  <c r="F52" i="7"/>
  <c r="E52" i="7"/>
  <c r="D52" i="7"/>
  <c r="G26" i="7"/>
  <c r="F26" i="7"/>
  <c r="E26" i="7"/>
  <c r="D26" i="7"/>
  <c r="G52" i="6"/>
  <c r="F52" i="6"/>
  <c r="E52" i="6"/>
  <c r="G42" i="6"/>
  <c r="F42" i="6"/>
  <c r="E42" i="6"/>
  <c r="G27" i="6"/>
  <c r="F27" i="6"/>
  <c r="E27" i="6"/>
  <c r="D27" i="6"/>
  <c r="F69" i="8" l="1"/>
  <c r="G69" i="8"/>
  <c r="D69" i="8"/>
  <c r="E69" i="8"/>
  <c r="F68" i="7"/>
  <c r="D69" i="4"/>
  <c r="G68" i="7"/>
  <c r="E68" i="7"/>
  <c r="F68" i="6"/>
  <c r="G68" i="6"/>
  <c r="E68" i="6"/>
  <c r="D68" i="7"/>
  <c r="D68" i="6"/>
  <c r="G69" i="4"/>
  <c r="F69" i="4"/>
  <c r="E69" i="4"/>
  <c r="G66" i="3"/>
  <c r="F66" i="3"/>
  <c r="E66" i="3"/>
  <c r="G52" i="3"/>
  <c r="F52" i="3"/>
  <c r="E52" i="3"/>
  <c r="D52" i="3"/>
  <c r="F26" i="3"/>
  <c r="E26" i="3"/>
  <c r="D26" i="3"/>
  <c r="D68" i="3" l="1"/>
  <c r="G16" i="3"/>
  <c r="G68" i="3" s="1"/>
  <c r="F16" i="3"/>
  <c r="F68" i="3" s="1"/>
  <c r="E16" i="3"/>
  <c r="E68" i="3" s="1"/>
  <c r="G68" i="5"/>
  <c r="F68" i="5"/>
  <c r="E68" i="5"/>
  <c r="D68" i="5"/>
</calcChain>
</file>

<file path=xl/sharedStrings.xml><?xml version="1.0" encoding="utf-8"?>
<sst xmlns="http://schemas.openxmlformats.org/spreadsheetml/2006/main" count="1121" uniqueCount="180">
  <si>
    <t>Koolilõuna 02.10-06.10.2023</t>
  </si>
  <si>
    <t>Esmaspäev</t>
  </si>
  <si>
    <t>Kogus, g</t>
  </si>
  <si>
    <t>Energia, kcal</t>
  </si>
  <si>
    <t>Süsivesikud, g</t>
  </si>
  <si>
    <t>Rasvad, g</t>
  </si>
  <si>
    <t>Valgud, g</t>
  </si>
  <si>
    <t>Lõunasöök</t>
  </si>
  <si>
    <t>Kokku:</t>
  </si>
  <si>
    <t>Teisipäev</t>
  </si>
  <si>
    <t>Kolmapäev</t>
  </si>
  <si>
    <t>Neljapäev</t>
  </si>
  <si>
    <t>Reede</t>
  </si>
  <si>
    <t>NÄDALA KESKMINE KOKKU:</t>
  </si>
  <si>
    <t>Menüü kaloraaž on arvestatud II vanuseastmele.</t>
  </si>
  <si>
    <t>PRIA KOOLIPIIMA JA PUU-JA KÖÖGIVILJA PAKUME IGA PÄEV</t>
  </si>
  <si>
    <t>Riis, aurutatud</t>
  </si>
  <si>
    <t>Porgandi-ananassisalat</t>
  </si>
  <si>
    <t>Punane kapsas, mais, juurseller (röstitu)</t>
  </si>
  <si>
    <t>Salatikaste</t>
  </si>
  <si>
    <t>Seemnesegu</t>
  </si>
  <si>
    <t xml:space="preserve">Rukkileiva- ja sepikutoodete valik </t>
  </si>
  <si>
    <t xml:space="preserve">Õun (PRIA) </t>
  </si>
  <si>
    <t>Kaalikas (PRIA)</t>
  </si>
  <si>
    <t>Tatar, aurutatud</t>
  </si>
  <si>
    <t>Peedisalat jõhvikatega</t>
  </si>
  <si>
    <t>Porgand, Hiina kapsas, roheline hernes</t>
  </si>
  <si>
    <t>Pirn (PRIA)</t>
  </si>
  <si>
    <t>Hapukoor</t>
  </si>
  <si>
    <t>Porgand (PRIA)</t>
  </si>
  <si>
    <t>Pilaff veiselihaga</t>
  </si>
  <si>
    <t>Ploom (PRIA)</t>
  </si>
  <si>
    <t>Koolilõuna 09.10-13.10.2023</t>
  </si>
  <si>
    <t>Õun (PRIA)</t>
  </si>
  <si>
    <t xml:space="preserve">Värskekapsasupp veiselihaga </t>
  </si>
  <si>
    <t>Kolme riisi segu, aurutatud</t>
  </si>
  <si>
    <t>Kõrvitsa-porgandisalat</t>
  </si>
  <si>
    <t>Kapsas, kikerherned, punane redis</t>
  </si>
  <si>
    <t>Guljašš-supp sealihaga</t>
  </si>
  <si>
    <t>Lõhe-kartuliroog porrulaugu ja tilliga</t>
  </si>
  <si>
    <t>Aurutatud brokoli ja lillkapsas</t>
  </si>
  <si>
    <t>Hiina kapsa salat tomatiga</t>
  </si>
  <si>
    <t>Koolilõuna 16.10-20.10.2023</t>
  </si>
  <si>
    <t>Hiina kapsa ja paprika salat</t>
  </si>
  <si>
    <t>Punane kapsas, mais, lillkapsas (aurutatud)</t>
  </si>
  <si>
    <t xml:space="preserve">Kaalikas (PRIA) </t>
  </si>
  <si>
    <t>Kaalika-õunasalat</t>
  </si>
  <si>
    <t>Ploom(PRIA)</t>
  </si>
  <si>
    <t>Mustsõstra-rukkivaht piimaga</t>
  </si>
  <si>
    <t xml:space="preserve">Porgand (PRIA) </t>
  </si>
  <si>
    <t>Ühepajatoit sealihaga</t>
  </si>
  <si>
    <t>Kartul, aurutatud</t>
  </si>
  <si>
    <t>Banaan</t>
  </si>
  <si>
    <t>Kaalikas, suvikõrvits, šampinjonid peterselliga</t>
  </si>
  <si>
    <t>Hiina kapsa salat värske kurgi ja tilliga</t>
  </si>
  <si>
    <t>Peet, kapsas, brokoli (aurutatud)</t>
  </si>
  <si>
    <t xml:space="preserve">Kapsas, valge/punane (PRIA) </t>
  </si>
  <si>
    <t>Ahjukartulid ürtidega</t>
  </si>
  <si>
    <t>Kapsa-juurselleri-õunasalat</t>
  </si>
  <si>
    <t>Menüü kaloraaž on arvestatud I vanuseastmele.</t>
  </si>
  <si>
    <t>Menüü kaloraaž on arvestatud III vanuseastmele.</t>
  </si>
  <si>
    <t>PRIA KOOLIPIIMA  PAKUME IGA PÄEV</t>
  </si>
  <si>
    <t>PRIA KOOLIPIIMA PAKUME IGA PÄEV</t>
  </si>
  <si>
    <t>Menüü kaloraaž on arvestatud gümnaasiumi vanuserühmale 16-18 aastat ja enam.</t>
  </si>
  <si>
    <t>Seeneseljanka</t>
  </si>
  <si>
    <t>Kapsa-kurgisalat tilliga</t>
  </si>
  <si>
    <t xml:space="preserve">Sisaldab G-gluteeni L-laktoosi </t>
  </si>
  <si>
    <t>PRIA Piimatooted (piim, keefir ) (L)</t>
  </si>
  <si>
    <t>Peet, mais, porgand</t>
  </si>
  <si>
    <t>Peet, kapsas, läätsed (keedetud)</t>
  </si>
  <si>
    <t>Kapsasalat magusa maisiga</t>
  </si>
  <si>
    <t>Chilli con carne (mahedamaitseline tšilli)</t>
  </si>
  <si>
    <t xml:space="preserve">Nuikapsas/kapsas (PRIA) </t>
  </si>
  <si>
    <t>Peedisalat porruga</t>
  </si>
  <si>
    <t>Punane kapsas, roheline hernes, marineeritud kurk</t>
  </si>
  <si>
    <t>Kodune kalaseljanka</t>
  </si>
  <si>
    <t>Porgand, punane sibul, rohelised herned</t>
  </si>
  <si>
    <t>Selge köögiviljasupp kalaga</t>
  </si>
  <si>
    <t>Kapsa-paprika salat</t>
  </si>
  <si>
    <t>Piima-muna-taimetoit</t>
  </si>
  <si>
    <t>Tofu magushapus kastmes</t>
  </si>
  <si>
    <t>Rassolnik roheliste hernestega</t>
  </si>
  <si>
    <t>Selge köögiviljasupp riivitud keedumunaga</t>
  </si>
  <si>
    <t>Pilaff punaste ubadega</t>
  </si>
  <si>
    <t>Teavet menüüs sisalduvate allergeenide kohta küsi söökla personalilt.</t>
  </si>
  <si>
    <t>Värskekapsasupp läätsedega</t>
  </si>
  <si>
    <t>Tomati ja paprikaga hautatud põldoad</t>
  </si>
  <si>
    <t>Guljašš-supp roheliste hernestega</t>
  </si>
  <si>
    <t>Tomatine köögiviljapada ürtidega</t>
  </si>
  <si>
    <t>Ühepajatoit aedubadega</t>
  </si>
  <si>
    <t>Chilli con carne ilma lihata (mahedamaitseline tšilli)</t>
  </si>
  <si>
    <t>Peedisupp riivitud keedumunaga</t>
  </si>
  <si>
    <t>Peedisupp veiseliha ja riivitud keedumunaga</t>
  </si>
  <si>
    <t>Täisterapasta/pasta (G)</t>
  </si>
  <si>
    <t>Rassolnik sealihaga (G)</t>
  </si>
  <si>
    <t>Hapukoor (L)</t>
  </si>
  <si>
    <t>Kohupiimakreem mustikakisselliga (L)</t>
  </si>
  <si>
    <t>PRIA Piimatooted (piim, keefir) (L)</t>
  </si>
  <si>
    <t>Rukkileiva- ja sepikutoodete valik (G)</t>
  </si>
  <si>
    <t>Maksastrooganov (L, G)</t>
  </si>
  <si>
    <t>Kartulipüree (L)</t>
  </si>
  <si>
    <t>Kreeka jogurt banaani, kakao ja röstitud kaerahelvestega (L, G)</t>
  </si>
  <si>
    <t>Ürdi-jogurtikaste (L)</t>
  </si>
  <si>
    <t>Kama-marja smuuti (L, G)</t>
  </si>
  <si>
    <t>Kodune hakklihakaste (L, G)</t>
  </si>
  <si>
    <t>Panna cotta maasikapüreega (L)</t>
  </si>
  <si>
    <t>Kartuli-porgandipüree (L)</t>
  </si>
  <si>
    <t>Soe valgekaste (L, G)</t>
  </si>
  <si>
    <t>Õuna-astelpaju jogurtidessert (L)</t>
  </si>
  <si>
    <t>Hapukoore-jogurtikaste sinepiga (L)</t>
  </si>
  <si>
    <t>Kana-karrikaste (L, G)</t>
  </si>
  <si>
    <t>Kikerherne-karrikaste (G, L)</t>
  </si>
  <si>
    <t>Veisehakkliha-pastasupp (G)</t>
  </si>
  <si>
    <t>Kakaotarretis marjapüreega (L)</t>
  </si>
  <si>
    <t>Kõrvitsa-pastasupp (G)</t>
  </si>
  <si>
    <t>Maasika-jogurti smuuti kaerahelvestega (L, G)</t>
  </si>
  <si>
    <t>Vanillipuding punase sõstrapüreega (L)</t>
  </si>
  <si>
    <t>Kollase herne püreesupp lillkapsa ja brokoliga (L)</t>
  </si>
  <si>
    <t>Kartuli-kruubipuder (G)</t>
  </si>
  <si>
    <t>Soe koorekaste (L, G)</t>
  </si>
  <si>
    <t>Läätse-porgandipikkpoiss (G)</t>
  </si>
  <si>
    <t>Apelsinitarretis vahukoorega (L)</t>
  </si>
  <si>
    <t>Koolilõuna 30.10-03.11.2023</t>
  </si>
  <si>
    <t>Jääsalat, valged oad (keedetud) , kaalikas (röstitud)</t>
  </si>
  <si>
    <t>Koorekaste hakksojamassiga (L, G)</t>
  </si>
  <si>
    <t>Ploom</t>
  </si>
  <si>
    <t>Pirn</t>
  </si>
  <si>
    <t>Porgand</t>
  </si>
  <si>
    <t xml:space="preserve">Õun </t>
  </si>
  <si>
    <t>Nuikapsas/kapsas</t>
  </si>
  <si>
    <t xml:space="preserve">Porgand </t>
  </si>
  <si>
    <t xml:space="preserve">Pirn </t>
  </si>
  <si>
    <t xml:space="preserve">Kaalikas </t>
  </si>
  <si>
    <t>Juurvilja strooganov (L, G)</t>
  </si>
  <si>
    <t xml:space="preserve">Kapsas valge/punane </t>
  </si>
  <si>
    <t>Küpsetatud kaalikad juustuga (L)</t>
  </si>
  <si>
    <t>Piimatooted (piim, keefir) (L)</t>
  </si>
  <si>
    <t>Kapsas, valge/punane</t>
  </si>
  <si>
    <t>Piimatooted (piima, keefir) (L)</t>
  </si>
  <si>
    <t xml:space="preserve">Nuikapsas/kapsas </t>
  </si>
  <si>
    <t>Suvikõrvitsa-kartuliroog porrulaugu ja tilliga (L)</t>
  </si>
  <si>
    <t>Kaalikas</t>
  </si>
  <si>
    <t>Magushapus kaste</t>
  </si>
  <si>
    <t>Hautatud sealiha</t>
  </si>
  <si>
    <t>Kana-suvikõrvitsa ahjupasta (G)</t>
  </si>
  <si>
    <t>Tomatine kanakaste basiilikuga</t>
  </si>
  <si>
    <t>Läätsed, keedetud</t>
  </si>
  <si>
    <t>Tomatine läätsesupp veiselihaga</t>
  </si>
  <si>
    <t>Tähestikusupp kanalihaga (G)</t>
  </si>
  <si>
    <t>Tatrahautis šampinjonide ja hakklihaga</t>
  </si>
  <si>
    <t>Ahjus küpsetatud kalafilee tilli ja sidruniga</t>
  </si>
  <si>
    <t>Kalkuni-köögiviljakaste ürtidega</t>
  </si>
  <si>
    <t>Bolognese kaste</t>
  </si>
  <si>
    <t>Tomatine kalasupp kikerhernestega</t>
  </si>
  <si>
    <t>Värskekapsaborš sealihaga</t>
  </si>
  <si>
    <t>Suvikõrvitsa pikkpoiss riivjuustu ja läätsedega</t>
  </si>
  <si>
    <t>Bulgur, keedetud (G)</t>
  </si>
  <si>
    <t>Kruubid, keedetud</t>
  </si>
  <si>
    <t>Röstitud porgandid</t>
  </si>
  <si>
    <t>Valge kalafileetükid koorekastmes (L, G)</t>
  </si>
  <si>
    <t>Röstitud peet</t>
  </si>
  <si>
    <t>Kana-nuudlisupp</t>
  </si>
  <si>
    <t>Hernes-porgand-mais, aurutatud</t>
  </si>
  <si>
    <t>Koorene mintaifileesupp lillkapsa ja brokoliga</t>
  </si>
  <si>
    <t>Köögiviljasupp sealihaga</t>
  </si>
  <si>
    <t>Küpsetatud kanakitsuliha peterselliga</t>
  </si>
  <si>
    <t>Värskekapsa-hakklihahautis</t>
  </si>
  <si>
    <r>
      <t>Kaalikas, punane uba, roheline hernes,</t>
    </r>
    <r>
      <rPr>
        <sz val="12"/>
        <color rgb="FF000000"/>
        <rFont val="Calibri"/>
        <family val="2"/>
        <charset val="186"/>
      </rPr>
      <t xml:space="preserve"> kodujuust (PRIA) (L)</t>
    </r>
  </si>
  <si>
    <t>Kuskuss, aurutatud (G)</t>
  </si>
  <si>
    <t>Külasupp sealihaga (G)</t>
  </si>
  <si>
    <t>Kakaojook (L)</t>
  </si>
  <si>
    <t>Kurzeme strooganov (G, L)</t>
  </si>
  <si>
    <t>Koorene kanasupp kollase karriga (L)</t>
  </si>
  <si>
    <t>Böfstrooganov (G, L)</t>
  </si>
  <si>
    <t>Õun</t>
  </si>
  <si>
    <t>Vahemere ürtidega hautatud kana poolkoib (portsjon)</t>
  </si>
  <si>
    <t>Küpsetatud kanakitsuliha (portsjon)</t>
  </si>
  <si>
    <t>Kirju pikkpoiss kanalihast (G) (portsjon)</t>
  </si>
  <si>
    <t>Ahjus küpsetatud sealiha (portsjon)</t>
  </si>
  <si>
    <t>Hakkliha-porgandipikkpoiss (G) (portsjon)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</si>
</sst>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* #,##0.00_);_(* \(#,##0.00\);_(* &quot;-&quot;??_);_(@_)"/>
    <numFmt numFmtId="165" formatCode="0.00;[Red]0.00"/>
  </numFmts>
  <fonts count="38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sz val="18"/>
      <color rgb="FFFF0000"/>
      <name val="Calibri"/>
      <family val="2"/>
      <charset val="186"/>
      <scheme val="minor"/>
    </font>
    <font>
      <b/>
      <sz val="18"/>
      <color indexed="8"/>
      <name val="Calibri"/>
      <family val="2"/>
      <charset val="186"/>
    </font>
    <font>
      <sz val="8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12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2"/>
      <name val="Calibri"/>
      <family val="2"/>
      <charset val="186"/>
      <scheme val="minor"/>
    </font>
    <font>
      <sz val="12"/>
      <color rgb="FF000000"/>
      <name val="Calibri"/>
      <family val="2"/>
      <charset val="186"/>
    </font>
    <font>
      <b/>
      <sz val="12"/>
      <name val="Calibri"/>
      <family val="2"/>
    </font>
    <font>
      <b/>
      <sz val="12"/>
      <name val="Calibri"/>
      <family val="2"/>
      <charset val="186"/>
    </font>
    <font>
      <b/>
      <sz val="12"/>
      <name val="Calibri"/>
      <family val="2"/>
      <charset val="186"/>
      <scheme val="minor"/>
    </font>
    <font>
      <b/>
      <sz val="12"/>
      <color rgb="FF000000"/>
      <name val="Calibri"/>
      <family val="2"/>
      <charset val="186"/>
      <scheme val="minor"/>
    </font>
    <font>
      <b/>
      <sz val="18"/>
      <color indexed="10"/>
      <name val="Calibri"/>
      <family val="2"/>
      <charset val="186"/>
    </font>
    <font>
      <b/>
      <sz val="18"/>
      <name val="Calibri"/>
      <family val="2"/>
      <charset val="186"/>
      <scheme val="minor"/>
    </font>
    <font>
      <sz val="18"/>
      <name val="Calibri"/>
      <family val="2"/>
      <charset val="186"/>
      <scheme val="minor"/>
    </font>
    <font>
      <b/>
      <sz val="12"/>
      <color theme="1"/>
      <name val="Calibri"/>
      <family val="2"/>
      <charset val="186"/>
    </font>
    <font>
      <sz val="12"/>
      <color theme="1"/>
      <name val="Calibri"/>
      <family val="2"/>
      <charset val="186"/>
    </font>
    <font>
      <b/>
      <sz val="12"/>
      <color rgb="FF000000"/>
      <name val="Calibri"/>
      <family val="2"/>
      <charset val="186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8"/>
      <name val="Calibri"/>
      <family val="2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</font>
    <font>
      <sz val="12"/>
      <color indexed="8"/>
      <name val="Calibri"/>
      <family val="2"/>
    </font>
    <font>
      <b/>
      <sz val="18"/>
      <color indexed="8"/>
      <name val="Calibri"/>
      <family val="2"/>
    </font>
    <font>
      <b/>
      <sz val="18"/>
      <color rgb="FFFF0000"/>
      <name val="Calibri"/>
      <family val="2"/>
      <scheme val="minor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0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5" fillId="2" borderId="0" xfId="0" applyFont="1" applyFill="1"/>
    <xf numFmtId="0" fontId="4" fillId="2" borderId="0" xfId="0" applyFont="1" applyFill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5" fillId="0" borderId="0" xfId="0" applyFont="1"/>
    <xf numFmtId="2" fontId="14" fillId="0" borderId="0" xfId="0" applyNumberFormat="1" applyFont="1" applyAlignment="1">
      <alignment wrapText="1"/>
    </xf>
    <xf numFmtId="49" fontId="8" fillId="0" borderId="0" xfId="0" applyNumberFormat="1" applyFont="1" applyAlignment="1">
      <alignment wrapText="1"/>
    </xf>
    <xf numFmtId="49" fontId="15" fillId="0" borderId="0" xfId="0" applyNumberFormat="1" applyFont="1"/>
    <xf numFmtId="2" fontId="18" fillId="0" borderId="0" xfId="0" applyNumberFormat="1" applyFont="1" applyAlignment="1">
      <alignment horizontal="right" wrapText="1"/>
    </xf>
    <xf numFmtId="0" fontId="10" fillId="2" borderId="4" xfId="0" applyFont="1" applyFill="1" applyBorder="1"/>
    <xf numFmtId="2" fontId="14" fillId="2" borderId="1" xfId="0" applyNumberFormat="1" applyFont="1" applyFill="1" applyBorder="1" applyAlignment="1">
      <alignment wrapText="1"/>
    </xf>
    <xf numFmtId="0" fontId="11" fillId="2" borderId="0" xfId="0" applyFont="1" applyFill="1"/>
    <xf numFmtId="2" fontId="14" fillId="2" borderId="1" xfId="0" applyNumberFormat="1" applyFont="1" applyFill="1" applyBorder="1" applyAlignment="1">
      <alignment horizontal="right" wrapText="1"/>
    </xf>
    <xf numFmtId="2" fontId="14" fillId="2" borderId="0" xfId="0" applyNumberFormat="1" applyFont="1" applyFill="1" applyAlignment="1">
      <alignment wrapText="1"/>
    </xf>
    <xf numFmtId="0" fontId="10" fillId="2" borderId="0" xfId="0" applyFont="1" applyFill="1"/>
    <xf numFmtId="2" fontId="14" fillId="0" borderId="1" xfId="0" applyNumberFormat="1" applyFont="1" applyBorder="1" applyAlignment="1">
      <alignment wrapText="1"/>
    </xf>
    <xf numFmtId="49" fontId="8" fillId="0" borderId="4" xfId="0" applyNumberFormat="1" applyFont="1" applyBorder="1" applyAlignment="1">
      <alignment wrapText="1"/>
    </xf>
    <xf numFmtId="49" fontId="14" fillId="0" borderId="4" xfId="0" applyNumberFormat="1" applyFont="1" applyBorder="1" applyAlignment="1">
      <alignment wrapText="1"/>
    </xf>
    <xf numFmtId="2" fontId="14" fillId="0" borderId="4" xfId="0" applyNumberFormat="1" applyFont="1" applyBorder="1" applyAlignment="1">
      <alignment wrapText="1"/>
    </xf>
    <xf numFmtId="49" fontId="14" fillId="0" borderId="0" xfId="0" applyNumberFormat="1" applyFont="1" applyAlignment="1">
      <alignment wrapText="1"/>
    </xf>
    <xf numFmtId="0" fontId="13" fillId="0" borderId="4" xfId="0" applyFont="1" applyBorder="1"/>
    <xf numFmtId="0" fontId="13" fillId="0" borderId="4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 wrapText="1"/>
    </xf>
    <xf numFmtId="0" fontId="10" fillId="0" borderId="4" xfId="0" applyFont="1" applyBorder="1"/>
    <xf numFmtId="2" fontId="14" fillId="0" borderId="4" xfId="0" applyNumberFormat="1" applyFont="1" applyBorder="1" applyAlignment="1">
      <alignment horizontal="right" wrapText="1"/>
    </xf>
    <xf numFmtId="49" fontId="16" fillId="0" borderId="4" xfId="0" applyNumberFormat="1" applyFont="1" applyBorder="1" applyAlignment="1">
      <alignment wrapText="1"/>
    </xf>
    <xf numFmtId="49" fontId="8" fillId="5" borderId="4" xfId="0" applyNumberFormat="1" applyFont="1" applyFill="1" applyBorder="1" applyAlignment="1">
      <alignment wrapText="1"/>
    </xf>
    <xf numFmtId="49" fontId="17" fillId="5" borderId="4" xfId="0" applyNumberFormat="1" applyFont="1" applyFill="1" applyBorder="1" applyAlignment="1">
      <alignment horizontal="right" wrapText="1"/>
    </xf>
    <xf numFmtId="49" fontId="14" fillId="0" borderId="4" xfId="0" applyNumberFormat="1" applyFont="1" applyBorder="1"/>
    <xf numFmtId="49" fontId="14" fillId="5" borderId="4" xfId="0" applyNumberFormat="1" applyFont="1" applyFill="1" applyBorder="1" applyAlignment="1">
      <alignment wrapText="1"/>
    </xf>
    <xf numFmtId="49" fontId="14" fillId="0" borderId="6" xfId="0" applyNumberFormat="1" applyFont="1" applyBorder="1" applyAlignment="1">
      <alignment wrapText="1"/>
    </xf>
    <xf numFmtId="2" fontId="14" fillId="0" borderId="6" xfId="0" applyNumberFormat="1" applyFont="1" applyBorder="1" applyAlignment="1">
      <alignment wrapText="1"/>
    </xf>
    <xf numFmtId="0" fontId="12" fillId="2" borderId="0" xfId="0" applyFont="1" applyFill="1"/>
    <xf numFmtId="0" fontId="15" fillId="2" borderId="0" xfId="0" applyFont="1" applyFill="1"/>
    <xf numFmtId="0" fontId="13" fillId="2" borderId="0" xfId="0" applyFont="1" applyFill="1"/>
    <xf numFmtId="2" fontId="15" fillId="2" borderId="0" xfId="0" applyNumberFormat="1" applyFont="1" applyFill="1" applyAlignment="1">
      <alignment wrapText="1"/>
    </xf>
    <xf numFmtId="164" fontId="20" fillId="0" borderId="5" xfId="0" applyNumberFormat="1" applyFont="1" applyBorder="1" applyAlignment="1">
      <alignment horizontal="right"/>
    </xf>
    <xf numFmtId="164" fontId="13" fillId="0" borderId="5" xfId="0" applyNumberFormat="1" applyFont="1" applyBorder="1" applyAlignment="1">
      <alignment horizontal="right"/>
    </xf>
    <xf numFmtId="2" fontId="11" fillId="2" borderId="0" xfId="0" applyNumberFormat="1" applyFont="1" applyFill="1" applyAlignment="1">
      <alignment wrapText="1"/>
    </xf>
    <xf numFmtId="0" fontId="13" fillId="0" borderId="7" xfId="0" applyFont="1" applyBorder="1"/>
    <xf numFmtId="49" fontId="14" fillId="0" borderId="8" xfId="0" applyNumberFormat="1" applyFont="1" applyBorder="1" applyAlignment="1">
      <alignment wrapText="1"/>
    </xf>
    <xf numFmtId="49" fontId="8" fillId="5" borderId="9" xfId="0" applyNumberFormat="1" applyFont="1" applyFill="1" applyBorder="1" applyAlignment="1">
      <alignment wrapText="1"/>
    </xf>
    <xf numFmtId="49" fontId="14" fillId="5" borderId="10" xfId="0" applyNumberFormat="1" applyFont="1" applyFill="1" applyBorder="1" applyAlignment="1">
      <alignment wrapText="1"/>
    </xf>
    <xf numFmtId="49" fontId="8" fillId="5" borderId="11" xfId="0" applyNumberFormat="1" applyFont="1" applyFill="1" applyBorder="1" applyAlignment="1">
      <alignment horizontal="right" wrapText="1"/>
    </xf>
    <xf numFmtId="44" fontId="19" fillId="2" borderId="0" xfId="1" applyFont="1" applyFill="1"/>
    <xf numFmtId="0" fontId="19" fillId="2" borderId="0" xfId="0" applyFont="1" applyFill="1"/>
    <xf numFmtId="2" fontId="15" fillId="2" borderId="2" xfId="0" applyNumberFormat="1" applyFont="1" applyFill="1" applyBorder="1" applyAlignment="1">
      <alignment wrapText="1"/>
    </xf>
    <xf numFmtId="2" fontId="19" fillId="5" borderId="6" xfId="0" applyNumberFormat="1" applyFont="1" applyFill="1" applyBorder="1" applyAlignment="1">
      <alignment wrapText="1"/>
    </xf>
    <xf numFmtId="49" fontId="14" fillId="0" borderId="12" xfId="0" applyNumberFormat="1" applyFont="1" applyBorder="1" applyAlignment="1">
      <alignment wrapText="1"/>
    </xf>
    <xf numFmtId="49" fontId="8" fillId="0" borderId="12" xfId="0" applyNumberFormat="1" applyFont="1" applyBorder="1" applyAlignment="1">
      <alignment wrapText="1"/>
    </xf>
    <xf numFmtId="49" fontId="8" fillId="2" borderId="12" xfId="0" applyNumberFormat="1" applyFont="1" applyFill="1" applyBorder="1" applyAlignment="1">
      <alignment wrapText="1"/>
    </xf>
    <xf numFmtId="49" fontId="14" fillId="2" borderId="12" xfId="0" applyNumberFormat="1" applyFont="1" applyFill="1" applyBorder="1" applyAlignment="1">
      <alignment wrapText="1"/>
    </xf>
    <xf numFmtId="164" fontId="19" fillId="2" borderId="4" xfId="0" applyNumberFormat="1" applyFont="1" applyFill="1" applyBorder="1" applyAlignment="1">
      <alignment horizontal="right"/>
    </xf>
    <xf numFmtId="0" fontId="13" fillId="2" borderId="12" xfId="0" applyFont="1" applyFill="1" applyBorder="1"/>
    <xf numFmtId="0" fontId="13" fillId="0" borderId="14" xfId="0" applyFont="1" applyBorder="1" applyAlignment="1">
      <alignment horizontal="left" vertical="center"/>
    </xf>
    <xf numFmtId="0" fontId="13" fillId="0" borderId="12" xfId="0" applyFont="1" applyBorder="1" applyAlignment="1">
      <alignment horizontal="center" vertical="center" wrapText="1"/>
    </xf>
    <xf numFmtId="0" fontId="10" fillId="0" borderId="12" xfId="0" applyFont="1" applyBorder="1"/>
    <xf numFmtId="49" fontId="8" fillId="5" borderId="12" xfId="0" applyNumberFormat="1" applyFont="1" applyFill="1" applyBorder="1" applyAlignment="1">
      <alignment wrapText="1"/>
    </xf>
    <xf numFmtId="2" fontId="15" fillId="5" borderId="12" xfId="0" applyNumberFormat="1" applyFont="1" applyFill="1" applyBorder="1" applyAlignment="1">
      <alignment wrapText="1"/>
    </xf>
    <xf numFmtId="2" fontId="19" fillId="5" borderId="12" xfId="0" applyNumberFormat="1" applyFont="1" applyFill="1" applyBorder="1" applyAlignment="1">
      <alignment wrapText="1"/>
    </xf>
    <xf numFmtId="0" fontId="13" fillId="0" borderId="12" xfId="0" applyFont="1" applyBorder="1"/>
    <xf numFmtId="49" fontId="14" fillId="5" borderId="12" xfId="0" applyNumberFormat="1" applyFont="1" applyFill="1" applyBorder="1" applyAlignment="1">
      <alignment wrapText="1"/>
    </xf>
    <xf numFmtId="0" fontId="13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/>
    <xf numFmtId="2" fontId="15" fillId="2" borderId="12" xfId="0" applyNumberFormat="1" applyFont="1" applyFill="1" applyBorder="1" applyAlignment="1">
      <alignment wrapText="1"/>
    </xf>
    <xf numFmtId="2" fontId="14" fillId="2" borderId="12" xfId="0" applyNumberFormat="1" applyFont="1" applyFill="1" applyBorder="1" applyAlignment="1">
      <alignment wrapText="1"/>
    </xf>
    <xf numFmtId="2" fontId="10" fillId="2" borderId="12" xfId="0" applyNumberFormat="1" applyFont="1" applyFill="1" applyBorder="1" applyAlignment="1">
      <alignment wrapText="1"/>
    </xf>
    <xf numFmtId="0" fontId="13" fillId="2" borderId="12" xfId="0" applyFont="1" applyFill="1" applyBorder="1" applyAlignment="1">
      <alignment horizontal="left" vertical="center"/>
    </xf>
    <xf numFmtId="0" fontId="15" fillId="2" borderId="12" xfId="0" applyFont="1" applyFill="1" applyBorder="1"/>
    <xf numFmtId="44" fontId="8" fillId="5" borderId="12" xfId="1" applyFont="1" applyFill="1" applyBorder="1" applyAlignment="1">
      <alignment wrapText="1"/>
    </xf>
    <xf numFmtId="44" fontId="19" fillId="5" borderId="12" xfId="1" applyFont="1" applyFill="1" applyBorder="1" applyAlignment="1">
      <alignment wrapText="1"/>
    </xf>
    <xf numFmtId="2" fontId="11" fillId="2" borderId="12" xfId="0" applyNumberFormat="1" applyFont="1" applyFill="1" applyBorder="1" applyAlignment="1">
      <alignment wrapText="1"/>
    </xf>
    <xf numFmtId="2" fontId="14" fillId="2" borderId="12" xfId="0" applyNumberFormat="1" applyFont="1" applyFill="1" applyBorder="1" applyAlignment="1">
      <alignment horizontal="right" wrapText="1"/>
    </xf>
    <xf numFmtId="2" fontId="14" fillId="0" borderId="12" xfId="0" applyNumberFormat="1" applyFont="1" applyBorder="1" applyAlignment="1">
      <alignment wrapText="1"/>
    </xf>
    <xf numFmtId="49" fontId="15" fillId="0" borderId="12" xfId="0" applyNumberFormat="1" applyFont="1" applyBorder="1"/>
    <xf numFmtId="49" fontId="10" fillId="0" borderId="12" xfId="0" applyNumberFormat="1" applyFont="1" applyBorder="1"/>
    <xf numFmtId="165" fontId="14" fillId="0" borderId="1" xfId="0" applyNumberFormat="1" applyFont="1" applyBorder="1" applyAlignment="1">
      <alignment wrapText="1"/>
    </xf>
    <xf numFmtId="2" fontId="8" fillId="5" borderId="12" xfId="0" applyNumberFormat="1" applyFont="1" applyFill="1" applyBorder="1" applyAlignment="1">
      <alignment wrapText="1"/>
    </xf>
    <xf numFmtId="2" fontId="14" fillId="2" borderId="6" xfId="0" applyNumberFormat="1" applyFont="1" applyFill="1" applyBorder="1" applyAlignment="1">
      <alignment wrapText="1"/>
    </xf>
    <xf numFmtId="49" fontId="8" fillId="0" borderId="13" xfId="0" applyNumberFormat="1" applyFont="1" applyBorder="1" applyAlignment="1">
      <alignment wrapText="1"/>
    </xf>
    <xf numFmtId="0" fontId="13" fillId="2" borderId="14" xfId="0" applyFont="1" applyFill="1" applyBorder="1" applyAlignment="1">
      <alignment horizontal="left" vertical="center"/>
    </xf>
    <xf numFmtId="0" fontId="10" fillId="2" borderId="14" xfId="0" applyFont="1" applyFill="1" applyBorder="1"/>
    <xf numFmtId="49" fontId="14" fillId="2" borderId="13" xfId="0" applyNumberFormat="1" applyFont="1" applyFill="1" applyBorder="1" applyAlignment="1">
      <alignment wrapText="1"/>
    </xf>
    <xf numFmtId="2" fontId="14" fillId="0" borderId="14" xfId="0" applyNumberFormat="1" applyFont="1" applyBorder="1" applyAlignment="1">
      <alignment vertical="center"/>
    </xf>
    <xf numFmtId="2" fontId="14" fillId="2" borderId="4" xfId="0" applyNumberFormat="1" applyFont="1" applyFill="1" applyBorder="1" applyAlignment="1">
      <alignment wrapText="1"/>
    </xf>
    <xf numFmtId="43" fontId="19" fillId="5" borderId="12" xfId="2" applyFont="1" applyFill="1" applyBorder="1" applyAlignment="1">
      <alignment wrapText="1"/>
    </xf>
    <xf numFmtId="0" fontId="21" fillId="0" borderId="0" xfId="0" applyFont="1"/>
    <xf numFmtId="0" fontId="21" fillId="2" borderId="0" xfId="0" applyFont="1" applyFill="1"/>
    <xf numFmtId="0" fontId="22" fillId="0" borderId="0" xfId="0" applyFont="1"/>
    <xf numFmtId="0" fontId="23" fillId="0" borderId="0" xfId="0" applyFont="1"/>
    <xf numFmtId="0" fontId="19" fillId="0" borderId="0" xfId="0" applyFont="1"/>
    <xf numFmtId="0" fontId="24" fillId="2" borderId="12" xfId="0" applyFont="1" applyFill="1" applyBorder="1"/>
    <xf numFmtId="0" fontId="24" fillId="0" borderId="14" xfId="0" applyFont="1" applyBorder="1" applyAlignment="1">
      <alignment horizontal="left" vertical="center"/>
    </xf>
    <xf numFmtId="0" fontId="24" fillId="0" borderId="12" xfId="0" applyFont="1" applyBorder="1" applyAlignment="1">
      <alignment horizontal="center" vertical="center" wrapText="1"/>
    </xf>
    <xf numFmtId="0" fontId="25" fillId="0" borderId="12" xfId="0" applyFont="1" applyBorder="1"/>
    <xf numFmtId="0" fontId="24" fillId="0" borderId="12" xfId="0" applyFont="1" applyBorder="1"/>
    <xf numFmtId="0" fontId="24" fillId="2" borderId="12" xfId="0" applyFont="1" applyFill="1" applyBorder="1" applyAlignment="1">
      <alignment horizontal="left" vertical="center"/>
    </xf>
    <xf numFmtId="0" fontId="24" fillId="2" borderId="12" xfId="0" applyFont="1" applyFill="1" applyBorder="1" applyAlignment="1">
      <alignment horizontal="center" vertical="center" wrapText="1"/>
    </xf>
    <xf numFmtId="0" fontId="25" fillId="2" borderId="12" xfId="0" applyFont="1" applyFill="1" applyBorder="1"/>
    <xf numFmtId="0" fontId="11" fillId="2" borderId="12" xfId="0" applyFont="1" applyFill="1" applyBorder="1"/>
    <xf numFmtId="2" fontId="18" fillId="5" borderId="12" xfId="0" applyNumberFormat="1" applyFont="1" applyFill="1" applyBorder="1" applyAlignment="1">
      <alignment wrapText="1"/>
    </xf>
    <xf numFmtId="49" fontId="11" fillId="0" borderId="12" xfId="0" applyNumberFormat="1" applyFont="1" applyBorder="1"/>
    <xf numFmtId="2" fontId="25" fillId="2" borderId="12" xfId="0" applyNumberFormat="1" applyFont="1" applyFill="1" applyBorder="1" applyAlignment="1">
      <alignment wrapText="1"/>
    </xf>
    <xf numFmtId="0" fontId="24" fillId="2" borderId="14" xfId="0" applyFont="1" applyFill="1" applyBorder="1" applyAlignment="1">
      <alignment horizontal="left" vertical="center"/>
    </xf>
    <xf numFmtId="2" fontId="11" fillId="2" borderId="2" xfId="0" applyNumberFormat="1" applyFont="1" applyFill="1" applyBorder="1" applyAlignment="1">
      <alignment wrapText="1"/>
    </xf>
    <xf numFmtId="0" fontId="27" fillId="0" borderId="0" xfId="0" applyFont="1"/>
    <xf numFmtId="0" fontId="28" fillId="0" borderId="0" xfId="0" applyFont="1"/>
    <xf numFmtId="0" fontId="30" fillId="0" borderId="0" xfId="0" applyFont="1"/>
    <xf numFmtId="0" fontId="31" fillId="2" borderId="12" xfId="0" applyFont="1" applyFill="1" applyBorder="1"/>
    <xf numFmtId="0" fontId="31" fillId="0" borderId="14" xfId="0" applyFont="1" applyBorder="1" applyAlignment="1">
      <alignment horizontal="left" vertical="center"/>
    </xf>
    <xf numFmtId="0" fontId="31" fillId="0" borderId="12" xfId="0" applyFont="1" applyBorder="1" applyAlignment="1">
      <alignment horizontal="center" vertical="center" wrapText="1"/>
    </xf>
    <xf numFmtId="0" fontId="32" fillId="0" borderId="0" xfId="0" applyFont="1"/>
    <xf numFmtId="0" fontId="32" fillId="0" borderId="12" xfId="0" applyFont="1" applyBorder="1"/>
    <xf numFmtId="49" fontId="34" fillId="0" borderId="12" xfId="0" applyNumberFormat="1" applyFont="1" applyBorder="1" applyAlignment="1">
      <alignment wrapText="1"/>
    </xf>
    <xf numFmtId="0" fontId="27" fillId="2" borderId="0" xfId="0" applyFont="1" applyFill="1"/>
    <xf numFmtId="49" fontId="29" fillId="5" borderId="12" xfId="0" applyNumberFormat="1" applyFont="1" applyFill="1" applyBorder="1" applyAlignment="1">
      <alignment wrapText="1"/>
    </xf>
    <xf numFmtId="2" fontId="27" fillId="5" borderId="12" xfId="0" applyNumberFormat="1" applyFont="1" applyFill="1" applyBorder="1" applyAlignment="1">
      <alignment wrapText="1"/>
    </xf>
    <xf numFmtId="2" fontId="28" fillId="5" borderId="12" xfId="0" applyNumberFormat="1" applyFont="1" applyFill="1" applyBorder="1" applyAlignment="1">
      <alignment wrapText="1"/>
    </xf>
    <xf numFmtId="49" fontId="34" fillId="0" borderId="0" xfId="0" applyNumberFormat="1" applyFont="1" applyAlignment="1">
      <alignment wrapText="1"/>
    </xf>
    <xf numFmtId="49" fontId="29" fillId="0" borderId="12" xfId="0" applyNumberFormat="1" applyFont="1" applyBorder="1" applyAlignment="1">
      <alignment wrapText="1"/>
    </xf>
    <xf numFmtId="49" fontId="34" fillId="5" borderId="12" xfId="0" applyNumberFormat="1" applyFont="1" applyFill="1" applyBorder="1" applyAlignment="1">
      <alignment wrapText="1"/>
    </xf>
    <xf numFmtId="0" fontId="31" fillId="0" borderId="12" xfId="0" applyFont="1" applyBorder="1"/>
    <xf numFmtId="0" fontId="34" fillId="0" borderId="14" xfId="0" applyFont="1" applyBorder="1" applyAlignment="1">
      <alignment vertical="center"/>
    </xf>
    <xf numFmtId="2" fontId="17" fillId="0" borderId="0" xfId="0" applyNumberFormat="1" applyFont="1" applyAlignment="1">
      <alignment horizontal="right" wrapText="1"/>
    </xf>
    <xf numFmtId="0" fontId="33" fillId="0" borderId="0" xfId="0" applyFont="1"/>
    <xf numFmtId="0" fontId="35" fillId="0" borderId="0" xfId="0" applyFont="1"/>
    <xf numFmtId="0" fontId="36" fillId="0" borderId="0" xfId="0" applyFont="1"/>
    <xf numFmtId="0" fontId="32" fillId="2" borderId="12" xfId="0" applyFont="1" applyFill="1" applyBorder="1"/>
    <xf numFmtId="49" fontId="34" fillId="2" borderId="12" xfId="0" applyNumberFormat="1" applyFont="1" applyFill="1" applyBorder="1" applyAlignment="1">
      <alignment wrapText="1"/>
    </xf>
    <xf numFmtId="2" fontId="34" fillId="0" borderId="4" xfId="0" applyNumberFormat="1" applyFont="1" applyBorder="1" applyAlignment="1">
      <alignment wrapText="1"/>
    </xf>
    <xf numFmtId="49" fontId="29" fillId="0" borderId="13" xfId="0" applyNumberFormat="1" applyFont="1" applyBorder="1" applyAlignment="1">
      <alignment wrapText="1"/>
    </xf>
    <xf numFmtId="49" fontId="34" fillId="0" borderId="4" xfId="0" applyNumberFormat="1" applyFont="1" applyBorder="1" applyAlignment="1">
      <alignment wrapText="1"/>
    </xf>
    <xf numFmtId="49" fontId="29" fillId="5" borderId="13" xfId="0" applyNumberFormat="1" applyFont="1" applyFill="1" applyBorder="1" applyAlignment="1">
      <alignment wrapText="1"/>
    </xf>
    <xf numFmtId="49" fontId="34" fillId="5" borderId="4" xfId="0" applyNumberFormat="1" applyFont="1" applyFill="1" applyBorder="1" applyAlignment="1">
      <alignment wrapText="1"/>
    </xf>
    <xf numFmtId="49" fontId="37" fillId="0" borderId="4" xfId="0" applyNumberFormat="1" applyFont="1" applyBorder="1" applyAlignment="1">
      <alignment wrapText="1"/>
    </xf>
    <xf numFmtId="49" fontId="34" fillId="0" borderId="13" xfId="0" applyNumberFormat="1" applyFont="1" applyBorder="1" applyAlignment="1">
      <alignment wrapText="1"/>
    </xf>
    <xf numFmtId="49" fontId="34" fillId="5" borderId="13" xfId="0" applyNumberFormat="1" applyFont="1" applyFill="1" applyBorder="1" applyAlignment="1">
      <alignment wrapText="1"/>
    </xf>
    <xf numFmtId="49" fontId="29" fillId="0" borderId="4" xfId="0" applyNumberFormat="1" applyFont="1" applyBorder="1" applyAlignment="1">
      <alignment wrapText="1"/>
    </xf>
    <xf numFmtId="49" fontId="29" fillId="5" borderId="4" xfId="0" applyNumberFormat="1" applyFont="1" applyFill="1" applyBorder="1" applyAlignment="1">
      <alignment wrapText="1"/>
    </xf>
    <xf numFmtId="2" fontId="28" fillId="5" borderId="6" xfId="0" applyNumberFormat="1" applyFont="1" applyFill="1" applyBorder="1" applyAlignment="1">
      <alignment wrapText="1"/>
    </xf>
    <xf numFmtId="164" fontId="28" fillId="0" borderId="5" xfId="0" applyNumberFormat="1" applyFont="1" applyBorder="1" applyAlignment="1">
      <alignment horizontal="right"/>
    </xf>
    <xf numFmtId="165" fontId="8" fillId="5" borderId="12" xfId="0" applyNumberFormat="1" applyFont="1" applyFill="1" applyBorder="1" applyAlignment="1">
      <alignment wrapText="1"/>
    </xf>
    <xf numFmtId="2" fontId="11" fillId="5" borderId="12" xfId="0" applyNumberFormat="1" applyFont="1" applyFill="1" applyBorder="1" applyAlignment="1">
      <alignment wrapText="1"/>
    </xf>
    <xf numFmtId="49" fontId="14" fillId="0" borderId="16" xfId="0" applyNumberFormat="1" applyFont="1" applyBorder="1" applyAlignment="1">
      <alignment wrapText="1"/>
    </xf>
    <xf numFmtId="49" fontId="14" fillId="0" borderId="15" xfId="0" applyNumberFormat="1" applyFont="1" applyBorder="1" applyAlignment="1">
      <alignment wrapText="1"/>
    </xf>
    <xf numFmtId="0" fontId="11" fillId="0" borderId="12" xfId="0" applyFont="1" applyBorder="1"/>
    <xf numFmtId="0" fontId="37" fillId="0" borderId="14" xfId="0" applyFont="1" applyBorder="1" applyAlignment="1">
      <alignment vertical="center"/>
    </xf>
    <xf numFmtId="2" fontId="32" fillId="0" borderId="12" xfId="0" applyNumberFormat="1" applyFont="1" applyBorder="1" applyAlignment="1">
      <alignment wrapText="1"/>
    </xf>
    <xf numFmtId="49" fontId="8" fillId="5" borderId="17" xfId="0" applyNumberFormat="1" applyFont="1" applyFill="1" applyBorder="1" applyAlignment="1">
      <alignment horizontal="right" wrapText="1"/>
    </xf>
    <xf numFmtId="2" fontId="19" fillId="5" borderId="2" xfId="0" applyNumberFormat="1" applyFont="1" applyFill="1" applyBorder="1" applyAlignment="1">
      <alignment wrapText="1"/>
    </xf>
    <xf numFmtId="2" fontId="34" fillId="0" borderId="0" xfId="0" applyNumberFormat="1" applyFont="1" applyAlignment="1">
      <alignment wrapText="1"/>
    </xf>
    <xf numFmtId="49" fontId="37" fillId="0" borderId="0" xfId="0" applyNumberFormat="1" applyFont="1" applyAlignment="1">
      <alignment wrapText="1"/>
    </xf>
    <xf numFmtId="0" fontId="10" fillId="2" borderId="13" xfId="0" applyFont="1" applyFill="1" applyBorder="1"/>
    <xf numFmtId="2" fontId="15" fillId="2" borderId="14" xfId="0" applyNumberFormat="1" applyFont="1" applyFill="1" applyBorder="1" applyAlignment="1">
      <alignment wrapText="1"/>
    </xf>
    <xf numFmtId="2" fontId="14" fillId="2" borderId="14" xfId="0" applyNumberFormat="1" applyFont="1" applyFill="1" applyBorder="1" applyAlignment="1">
      <alignment wrapText="1"/>
    </xf>
    <xf numFmtId="2" fontId="15" fillId="2" borderId="18" xfId="0" applyNumberFormat="1" applyFont="1" applyFill="1" applyBorder="1" applyAlignment="1">
      <alignment wrapText="1"/>
    </xf>
    <xf numFmtId="2" fontId="14" fillId="2" borderId="18" xfId="0" applyNumberFormat="1" applyFont="1" applyFill="1" applyBorder="1" applyAlignment="1">
      <alignment horizontal="right" wrapText="1"/>
    </xf>
    <xf numFmtId="2" fontId="14" fillId="2" borderId="3" xfId="0" applyNumberFormat="1" applyFont="1" applyFill="1" applyBorder="1" applyAlignment="1">
      <alignment wrapText="1"/>
    </xf>
    <xf numFmtId="49" fontId="18" fillId="5" borderId="3" xfId="0" applyNumberFormat="1" applyFont="1" applyFill="1" applyBorder="1" applyAlignment="1">
      <alignment horizontal="right" wrapText="1"/>
    </xf>
    <xf numFmtId="49" fontId="14" fillId="2" borderId="4" xfId="0" applyNumberFormat="1" applyFont="1" applyFill="1" applyBorder="1" applyAlignment="1">
      <alignment wrapText="1"/>
    </xf>
    <xf numFmtId="49" fontId="14" fillId="2" borderId="2" xfId="0" applyNumberFormat="1" applyFont="1" applyFill="1" applyBorder="1" applyAlignment="1">
      <alignment wrapText="1"/>
    </xf>
    <xf numFmtId="2" fontId="14" fillId="2" borderId="3" xfId="0" applyNumberFormat="1" applyFont="1" applyFill="1" applyBorder="1" applyAlignment="1">
      <alignment horizontal="right" wrapText="1"/>
    </xf>
    <xf numFmtId="2" fontId="27" fillId="5" borderId="2" xfId="0" applyNumberFormat="1" applyFont="1" applyFill="1" applyBorder="1" applyAlignment="1">
      <alignment wrapText="1"/>
    </xf>
    <xf numFmtId="2" fontId="28" fillId="5" borderId="2" xfId="0" applyNumberFormat="1" applyFont="1" applyFill="1" applyBorder="1" applyAlignment="1">
      <alignment wrapText="1"/>
    </xf>
    <xf numFmtId="0" fontId="34" fillId="0" borderId="4" xfId="0" applyFont="1" applyBorder="1" applyAlignment="1">
      <alignment vertical="center"/>
    </xf>
    <xf numFmtId="49" fontId="17" fillId="5" borderId="3" xfId="0" applyNumberFormat="1" applyFont="1" applyFill="1" applyBorder="1" applyAlignment="1">
      <alignment horizontal="right" wrapText="1"/>
    </xf>
    <xf numFmtId="2" fontId="28" fillId="5" borderId="19" xfId="0" applyNumberFormat="1" applyFont="1" applyFill="1" applyBorder="1" applyAlignment="1">
      <alignment wrapText="1"/>
    </xf>
    <xf numFmtId="0" fontId="32" fillId="0" borderId="13" xfId="0" applyFont="1" applyBorder="1"/>
    <xf numFmtId="2" fontId="34" fillId="0" borderId="18" xfId="0" applyNumberFormat="1" applyFont="1" applyBorder="1" applyAlignment="1">
      <alignment wrapText="1"/>
    </xf>
    <xf numFmtId="49" fontId="14" fillId="0" borderId="13" xfId="0" applyNumberFormat="1" applyFont="1" applyBorder="1" applyAlignment="1">
      <alignment wrapText="1"/>
    </xf>
    <xf numFmtId="2" fontId="15" fillId="5" borderId="2" xfId="0" applyNumberFormat="1" applyFont="1" applyFill="1" applyBorder="1" applyAlignment="1">
      <alignment wrapText="1"/>
    </xf>
    <xf numFmtId="2" fontId="14" fillId="0" borderId="18" xfId="0" applyNumberFormat="1" applyFont="1" applyBorder="1" applyAlignment="1">
      <alignment wrapText="1"/>
    </xf>
    <xf numFmtId="2" fontId="19" fillId="5" borderId="19" xfId="0" applyNumberFormat="1" applyFont="1" applyFill="1" applyBorder="1" applyAlignment="1">
      <alignment wrapText="1"/>
    </xf>
    <xf numFmtId="2" fontId="14" fillId="0" borderId="3" xfId="0" applyNumberFormat="1" applyFont="1" applyBorder="1" applyAlignment="1">
      <alignment horizontal="right" wrapText="1"/>
    </xf>
    <xf numFmtId="0" fontId="13" fillId="0" borderId="20" xfId="0" applyFont="1" applyBorder="1"/>
    <xf numFmtId="2" fontId="14" fillId="0" borderId="3" xfId="0" applyNumberFormat="1" applyFont="1" applyBorder="1" applyAlignment="1">
      <alignment wrapText="1"/>
    </xf>
    <xf numFmtId="49" fontId="11" fillId="2" borderId="12" xfId="0" applyNumberFormat="1" applyFont="1" applyFill="1" applyBorder="1"/>
    <xf numFmtId="2" fontId="11" fillId="5" borderId="2" xfId="0" applyNumberFormat="1" applyFont="1" applyFill="1" applyBorder="1" applyAlignment="1">
      <alignment wrapText="1"/>
    </xf>
    <xf numFmtId="2" fontId="8" fillId="5" borderId="2" xfId="0" applyNumberFormat="1" applyFont="1" applyFill="1" applyBorder="1" applyAlignment="1">
      <alignment wrapText="1"/>
    </xf>
    <xf numFmtId="165" fontId="8" fillId="5" borderId="2" xfId="0" applyNumberFormat="1" applyFont="1" applyFill="1" applyBorder="1" applyAlignment="1">
      <alignment wrapText="1"/>
    </xf>
    <xf numFmtId="0" fontId="31" fillId="0" borderId="21" xfId="0" applyFont="1" applyBorder="1" applyAlignment="1">
      <alignment horizontal="left" vertical="center"/>
    </xf>
    <xf numFmtId="0" fontId="31" fillId="0" borderId="22" xfId="0" applyFont="1" applyBorder="1" applyAlignment="1">
      <alignment horizontal="center" vertical="center" wrapText="1"/>
    </xf>
    <xf numFmtId="2" fontId="11" fillId="3" borderId="24" xfId="0" applyNumberFormat="1" applyFont="1" applyFill="1" applyBorder="1" applyAlignment="1">
      <alignment wrapText="1"/>
    </xf>
    <xf numFmtId="2" fontId="11" fillId="2" borderId="24" xfId="0" applyNumberFormat="1" applyFont="1" applyFill="1" applyBorder="1" applyAlignment="1">
      <alignment wrapText="1"/>
    </xf>
    <xf numFmtId="2" fontId="14" fillId="0" borderId="24" xfId="0" applyNumberFormat="1" applyFont="1" applyBorder="1" applyAlignment="1">
      <alignment wrapText="1"/>
    </xf>
    <xf numFmtId="2" fontId="14" fillId="2" borderId="24" xfId="0" applyNumberFormat="1" applyFont="1" applyFill="1" applyBorder="1" applyAlignment="1">
      <alignment wrapText="1"/>
    </xf>
    <xf numFmtId="44" fontId="18" fillId="5" borderId="25" xfId="1" applyFont="1" applyFill="1" applyBorder="1" applyAlignment="1">
      <alignment horizontal="right" wrapText="1"/>
    </xf>
    <xf numFmtId="2" fontId="14" fillId="2" borderId="24" xfId="0" applyNumberFormat="1" applyFont="1" applyFill="1" applyBorder="1" applyAlignment="1">
      <alignment horizontal="right" wrapText="1"/>
    </xf>
    <xf numFmtId="49" fontId="18" fillId="5" borderId="25" xfId="0" applyNumberFormat="1" applyFont="1" applyFill="1" applyBorder="1" applyAlignment="1">
      <alignment horizontal="right" wrapText="1"/>
    </xf>
    <xf numFmtId="2" fontId="34" fillId="0" borderId="24" xfId="0" applyNumberFormat="1" applyFont="1" applyBorder="1" applyAlignment="1">
      <alignment wrapText="1"/>
    </xf>
    <xf numFmtId="2" fontId="14" fillId="2" borderId="23" xfId="0" applyNumberFormat="1" applyFont="1" applyFill="1" applyBorder="1" applyAlignment="1">
      <alignment wrapText="1"/>
    </xf>
    <xf numFmtId="165" fontId="14" fillId="2" borderId="24" xfId="0" applyNumberFormat="1" applyFont="1" applyFill="1" applyBorder="1" applyAlignment="1">
      <alignment wrapText="1"/>
    </xf>
    <xf numFmtId="2" fontId="14" fillId="0" borderId="24" xfId="0" applyNumberFormat="1" applyFont="1" applyBorder="1" applyAlignment="1">
      <alignment horizontal="right" wrapText="1"/>
    </xf>
    <xf numFmtId="2" fontId="33" fillId="0" borderId="25" xfId="0" applyNumberFormat="1" applyFont="1" applyBorder="1" applyAlignment="1">
      <alignment wrapText="1"/>
    </xf>
    <xf numFmtId="165" fontId="34" fillId="2" borderId="24" xfId="0" applyNumberFormat="1" applyFont="1" applyFill="1" applyBorder="1" applyAlignment="1">
      <alignment wrapText="1"/>
    </xf>
    <xf numFmtId="165" fontId="34" fillId="0" borderId="24" xfId="0" applyNumberFormat="1" applyFont="1" applyBorder="1" applyAlignment="1">
      <alignment wrapText="1"/>
    </xf>
    <xf numFmtId="2" fontId="34" fillId="0" borderId="24" xfId="0" applyNumberFormat="1" applyFont="1" applyBorder="1" applyAlignment="1">
      <alignment horizontal="right" wrapText="1"/>
    </xf>
    <xf numFmtId="2" fontId="34" fillId="0" borderId="23" xfId="0" applyNumberFormat="1" applyFont="1" applyBorder="1" applyAlignment="1">
      <alignment wrapText="1"/>
    </xf>
    <xf numFmtId="49" fontId="17" fillId="5" borderId="25" xfId="0" applyNumberFormat="1" applyFont="1" applyFill="1" applyBorder="1" applyAlignment="1">
      <alignment horizontal="right" wrapText="1"/>
    </xf>
    <xf numFmtId="2" fontId="34" fillId="0" borderId="25" xfId="0" applyNumberFormat="1" applyFont="1" applyBorder="1"/>
    <xf numFmtId="2" fontId="34" fillId="0" borderId="25" xfId="0" applyNumberFormat="1" applyFont="1" applyBorder="1" applyAlignment="1">
      <alignment wrapText="1"/>
    </xf>
    <xf numFmtId="2" fontId="34" fillId="0" borderId="25" xfId="0" applyNumberFormat="1" applyFont="1" applyBorder="1" applyAlignment="1">
      <alignment horizontal="right" wrapText="1"/>
    </xf>
    <xf numFmtId="2" fontId="18" fillId="5" borderId="24" xfId="0" applyNumberFormat="1" applyFont="1" applyFill="1" applyBorder="1" applyAlignment="1">
      <alignment wrapText="1"/>
    </xf>
    <xf numFmtId="49" fontId="10" fillId="0" borderId="25" xfId="0" applyNumberFormat="1" applyFont="1" applyBorder="1"/>
    <xf numFmtId="0" fontId="10" fillId="2" borderId="25" xfId="0" applyFont="1" applyFill="1" applyBorder="1" applyAlignment="1">
      <alignment wrapText="1"/>
    </xf>
    <xf numFmtId="0" fontId="10" fillId="2" borderId="25" xfId="0" applyFont="1" applyFill="1" applyBorder="1"/>
    <xf numFmtId="165" fontId="14" fillId="0" borderId="24" xfId="0" applyNumberFormat="1" applyFont="1" applyBorder="1" applyAlignment="1">
      <alignment wrapText="1"/>
    </xf>
    <xf numFmtId="49" fontId="14" fillId="0" borderId="25" xfId="0" applyNumberFormat="1" applyFont="1" applyBorder="1"/>
    <xf numFmtId="2" fontId="14" fillId="0" borderId="25" xfId="0" applyNumberFormat="1" applyFont="1" applyBorder="1" applyAlignment="1">
      <alignment wrapText="1"/>
    </xf>
    <xf numFmtId="49" fontId="14" fillId="0" borderId="25" xfId="0" applyNumberFormat="1" applyFont="1" applyBorder="1" applyAlignment="1">
      <alignment wrapText="1"/>
    </xf>
    <xf numFmtId="49" fontId="33" fillId="0" borderId="25" xfId="0" applyNumberFormat="1" applyFont="1" applyBorder="1" applyAlignment="1">
      <alignment wrapText="1"/>
    </xf>
    <xf numFmtId="49" fontId="34" fillId="0" borderId="27" xfId="0" applyNumberFormat="1" applyFont="1" applyBorder="1" applyAlignment="1">
      <alignment wrapText="1"/>
    </xf>
    <xf numFmtId="49" fontId="34" fillId="0" borderId="25" xfId="0" applyNumberFormat="1" applyFont="1" applyBorder="1" applyAlignment="1">
      <alignment wrapText="1"/>
    </xf>
    <xf numFmtId="49" fontId="34" fillId="2" borderId="25" xfId="0" applyNumberFormat="1" applyFont="1" applyFill="1" applyBorder="1" applyAlignment="1">
      <alignment wrapText="1"/>
    </xf>
    <xf numFmtId="2" fontId="34" fillId="2" borderId="24" xfId="0" applyNumberFormat="1" applyFont="1" applyFill="1" applyBorder="1" applyAlignment="1">
      <alignment wrapText="1"/>
    </xf>
    <xf numFmtId="49" fontId="34" fillId="0" borderId="25" xfId="0" applyNumberFormat="1" applyFont="1" applyBorder="1"/>
    <xf numFmtId="2" fontId="34" fillId="2" borderId="24" xfId="0" applyNumberFormat="1" applyFont="1" applyFill="1" applyBorder="1" applyAlignment="1">
      <alignment horizontal="right" wrapText="1"/>
    </xf>
    <xf numFmtId="49" fontId="34" fillId="0" borderId="26" xfId="0" applyNumberFormat="1" applyFont="1" applyBorder="1" applyAlignment="1">
      <alignment wrapText="1"/>
    </xf>
    <xf numFmtId="0" fontId="32" fillId="0" borderId="22" xfId="0" applyFont="1" applyBorder="1"/>
    <xf numFmtId="49" fontId="34" fillId="0" borderId="22" xfId="0" applyNumberFormat="1" applyFont="1" applyBorder="1" applyAlignment="1">
      <alignment wrapText="1"/>
    </xf>
    <xf numFmtId="49" fontId="34" fillId="4" borderId="25" xfId="0" applyNumberFormat="1" applyFont="1" applyFill="1" applyBorder="1" applyAlignment="1">
      <alignment wrapText="1"/>
    </xf>
    <xf numFmtId="0" fontId="32" fillId="0" borderId="27" xfId="0" applyFont="1" applyBorder="1"/>
    <xf numFmtId="49" fontId="29" fillId="0" borderId="22" xfId="0" applyNumberFormat="1" applyFont="1" applyBorder="1" applyAlignment="1">
      <alignment wrapText="1"/>
    </xf>
    <xf numFmtId="49" fontId="33" fillId="0" borderId="25" xfId="0" applyNumberFormat="1" applyFont="1" applyBorder="1"/>
    <xf numFmtId="2" fontId="28" fillId="5" borderId="22" xfId="0" applyNumberFormat="1" applyFont="1" applyFill="1" applyBorder="1" applyAlignment="1">
      <alignment wrapText="1"/>
    </xf>
    <xf numFmtId="0" fontId="13" fillId="2" borderId="22" xfId="0" applyFont="1" applyFill="1" applyBorder="1" applyAlignment="1">
      <alignment horizontal="left" vertical="center"/>
    </xf>
    <xf numFmtId="0" fontId="13" fillId="2" borderId="22" xfId="0" applyFont="1" applyFill="1" applyBorder="1" applyAlignment="1">
      <alignment horizontal="center" vertical="center" wrapText="1"/>
    </xf>
    <xf numFmtId="0" fontId="15" fillId="2" borderId="21" xfId="0" applyFont="1" applyFill="1" applyBorder="1"/>
    <xf numFmtId="49" fontId="14" fillId="2" borderId="22" xfId="0" applyNumberFormat="1" applyFont="1" applyFill="1" applyBorder="1" applyAlignment="1">
      <alignment wrapText="1"/>
    </xf>
    <xf numFmtId="0" fontId="13" fillId="2" borderId="21" xfId="0" applyFont="1" applyFill="1" applyBorder="1" applyAlignment="1">
      <alignment horizontal="left" vertical="center"/>
    </xf>
    <xf numFmtId="2" fontId="15" fillId="2" borderId="22" xfId="0" applyNumberFormat="1" applyFont="1" applyFill="1" applyBorder="1" applyAlignment="1">
      <alignment wrapText="1"/>
    </xf>
    <xf numFmtId="2" fontId="19" fillId="5" borderId="22" xfId="0" applyNumberFormat="1" applyFont="1" applyFill="1" applyBorder="1" applyAlignment="1">
      <alignment wrapText="1"/>
    </xf>
    <xf numFmtId="2" fontId="15" fillId="2" borderId="21" xfId="0" applyNumberFormat="1" applyFont="1" applyFill="1" applyBorder="1" applyAlignment="1">
      <alignment wrapText="1"/>
    </xf>
    <xf numFmtId="0" fontId="24" fillId="2" borderId="22" xfId="0" applyFont="1" applyFill="1" applyBorder="1" applyAlignment="1">
      <alignment horizontal="left" vertical="center"/>
    </xf>
    <xf numFmtId="0" fontId="24" fillId="2" borderId="22" xfId="0" applyFont="1" applyFill="1" applyBorder="1" applyAlignment="1">
      <alignment horizontal="center" vertical="center" wrapText="1"/>
    </xf>
    <xf numFmtId="0" fontId="11" fillId="2" borderId="21" xfId="0" applyFont="1" applyFill="1" applyBorder="1"/>
    <xf numFmtId="2" fontId="18" fillId="5" borderId="22" xfId="0" applyNumberFormat="1" applyFont="1" applyFill="1" applyBorder="1" applyAlignment="1">
      <alignment wrapText="1"/>
    </xf>
    <xf numFmtId="0" fontId="13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left" vertical="center"/>
    </xf>
    <xf numFmtId="0" fontId="10" fillId="0" borderId="22" xfId="0" applyFont="1" applyBorder="1"/>
    <xf numFmtId="0" fontId="31" fillId="0" borderId="28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 wrapText="1"/>
    </xf>
    <xf numFmtId="2" fontId="34" fillId="0" borderId="30" xfId="0" applyNumberFormat="1" applyFont="1" applyBorder="1" applyAlignment="1">
      <alignment wrapText="1"/>
    </xf>
    <xf numFmtId="0" fontId="10" fillId="2" borderId="30" xfId="0" applyFont="1" applyFill="1" applyBorder="1"/>
    <xf numFmtId="2" fontId="18" fillId="5" borderId="32" xfId="0" applyNumberFormat="1" applyFont="1" applyFill="1" applyBorder="1" applyAlignment="1">
      <alignment wrapText="1"/>
    </xf>
    <xf numFmtId="2" fontId="11" fillId="2" borderId="32" xfId="0" applyNumberFormat="1" applyFont="1" applyFill="1" applyBorder="1" applyAlignment="1">
      <alignment wrapText="1"/>
    </xf>
    <xf numFmtId="2" fontId="14" fillId="0" borderId="32" xfId="0" applyNumberFormat="1" applyFont="1" applyBorder="1" applyAlignment="1">
      <alignment wrapText="1"/>
    </xf>
    <xf numFmtId="2" fontId="14" fillId="0" borderId="30" xfId="0" applyNumberFormat="1" applyFont="1" applyBorder="1" applyAlignment="1">
      <alignment wrapText="1"/>
    </xf>
    <xf numFmtId="49" fontId="8" fillId="5" borderId="33" xfId="0" applyNumberFormat="1" applyFont="1" applyFill="1" applyBorder="1" applyAlignment="1">
      <alignment horizontal="right" wrapText="1"/>
    </xf>
    <xf numFmtId="49" fontId="14" fillId="0" borderId="33" xfId="0" applyNumberFormat="1" applyFont="1" applyBorder="1" applyAlignment="1">
      <alignment wrapText="1"/>
    </xf>
    <xf numFmtId="2" fontId="14" fillId="0" borderId="32" xfId="0" applyNumberFormat="1" applyFont="1" applyBorder="1" applyAlignment="1">
      <alignment horizontal="right" wrapText="1"/>
    </xf>
    <xf numFmtId="2" fontId="34" fillId="0" borderId="34" xfId="0" applyNumberFormat="1" applyFont="1" applyBorder="1" applyAlignment="1">
      <alignment wrapText="1"/>
    </xf>
    <xf numFmtId="49" fontId="14" fillId="0" borderId="35" xfId="0" applyNumberFormat="1" applyFont="1" applyBorder="1" applyAlignment="1">
      <alignment wrapText="1"/>
    </xf>
    <xf numFmtId="2" fontId="14" fillId="0" borderId="34" xfId="0" applyNumberFormat="1" applyFont="1" applyBorder="1" applyAlignment="1">
      <alignment wrapText="1"/>
    </xf>
    <xf numFmtId="2" fontId="14" fillId="0" borderId="34" xfId="0" applyNumberFormat="1" applyFont="1" applyBorder="1" applyAlignment="1">
      <alignment horizontal="right" wrapText="1"/>
    </xf>
    <xf numFmtId="49" fontId="11" fillId="2" borderId="35" xfId="0" applyNumberFormat="1" applyFont="1" applyFill="1" applyBorder="1" applyAlignment="1">
      <alignment wrapText="1"/>
    </xf>
    <xf numFmtId="165" fontId="14" fillId="2" borderId="34" xfId="0" applyNumberFormat="1" applyFont="1" applyFill="1" applyBorder="1" applyAlignment="1">
      <alignment wrapText="1"/>
    </xf>
    <xf numFmtId="2" fontId="14" fillId="2" borderId="34" xfId="0" applyNumberFormat="1" applyFont="1" applyFill="1" applyBorder="1" applyAlignment="1">
      <alignment wrapText="1"/>
    </xf>
    <xf numFmtId="2" fontId="14" fillId="2" borderId="34" xfId="0" applyNumberFormat="1" applyFont="1" applyFill="1" applyBorder="1" applyAlignment="1">
      <alignment horizontal="right" wrapText="1"/>
    </xf>
    <xf numFmtId="2" fontId="14" fillId="2" borderId="32" xfId="0" applyNumberFormat="1" applyFont="1" applyFill="1" applyBorder="1" applyAlignment="1">
      <alignment wrapText="1"/>
    </xf>
    <xf numFmtId="49" fontId="18" fillId="5" borderId="33" xfId="0" applyNumberFormat="1" applyFont="1" applyFill="1" applyBorder="1" applyAlignment="1">
      <alignment horizontal="right" wrapText="1"/>
    </xf>
    <xf numFmtId="49" fontId="11" fillId="0" borderId="33" xfId="0" applyNumberFormat="1" applyFont="1" applyBorder="1" applyAlignment="1">
      <alignment wrapText="1"/>
    </xf>
    <xf numFmtId="49" fontId="11" fillId="0" borderId="35" xfId="0" applyNumberFormat="1" applyFont="1" applyBorder="1" applyAlignment="1">
      <alignment wrapText="1"/>
    </xf>
    <xf numFmtId="165" fontId="14" fillId="0" borderId="34" xfId="0" applyNumberFormat="1" applyFont="1" applyBorder="1" applyAlignment="1">
      <alignment wrapText="1"/>
    </xf>
    <xf numFmtId="165" fontId="34" fillId="2" borderId="34" xfId="0" applyNumberFormat="1" applyFont="1" applyFill="1" applyBorder="1" applyAlignment="1">
      <alignment wrapText="1"/>
    </xf>
    <xf numFmtId="2" fontId="34" fillId="2" borderId="34" xfId="0" applyNumberFormat="1" applyFont="1" applyFill="1" applyBorder="1" applyAlignment="1">
      <alignment wrapText="1"/>
    </xf>
    <xf numFmtId="2" fontId="18" fillId="5" borderId="36" xfId="0" applyNumberFormat="1" applyFont="1" applyFill="1" applyBorder="1" applyAlignment="1">
      <alignment wrapText="1"/>
    </xf>
    <xf numFmtId="2" fontId="11" fillId="0" borderId="31" xfId="0" applyNumberFormat="1" applyFont="1" applyBorder="1"/>
    <xf numFmtId="2" fontId="34" fillId="0" borderId="37" xfId="0" applyNumberFormat="1" applyFont="1" applyBorder="1" applyAlignment="1">
      <alignment wrapText="1"/>
    </xf>
    <xf numFmtId="2" fontId="34" fillId="2" borderId="38" xfId="0" applyNumberFormat="1" applyFont="1" applyFill="1" applyBorder="1" applyAlignment="1">
      <alignment wrapText="1"/>
    </xf>
    <xf numFmtId="2" fontId="34" fillId="2" borderId="39" xfId="0" applyNumberFormat="1" applyFont="1" applyFill="1" applyBorder="1" applyAlignment="1">
      <alignment wrapText="1"/>
    </xf>
    <xf numFmtId="2" fontId="34" fillId="2" borderId="40" xfId="0" applyNumberFormat="1" applyFont="1" applyFill="1" applyBorder="1" applyAlignment="1">
      <alignment wrapText="1"/>
    </xf>
    <xf numFmtId="0" fontId="32" fillId="0" borderId="31" xfId="0" applyFont="1" applyBorder="1"/>
    <xf numFmtId="2" fontId="32" fillId="2" borderId="12" xfId="0" applyNumberFormat="1" applyFont="1" applyFill="1" applyBorder="1" applyAlignment="1">
      <alignment wrapText="1"/>
    </xf>
    <xf numFmtId="2" fontId="34" fillId="0" borderId="32" xfId="0" applyNumberFormat="1" applyFont="1" applyBorder="1" applyAlignment="1">
      <alignment horizontal="right" wrapText="1"/>
    </xf>
    <xf numFmtId="2" fontId="34" fillId="0" borderId="32" xfId="0" applyNumberFormat="1" applyFont="1" applyBorder="1" applyAlignment="1">
      <alignment wrapText="1"/>
    </xf>
    <xf numFmtId="2" fontId="19" fillId="2" borderId="12" xfId="0" applyNumberFormat="1" applyFont="1" applyFill="1" applyBorder="1"/>
    <xf numFmtId="43" fontId="34" fillId="2" borderId="24" xfId="2" applyFont="1" applyFill="1" applyBorder="1" applyAlignment="1">
      <alignment wrapText="1"/>
    </xf>
    <xf numFmtId="49" fontId="14" fillId="2" borderId="31" xfId="0" applyNumberFormat="1" applyFont="1" applyFill="1" applyBorder="1" applyAlignment="1">
      <alignment wrapText="1"/>
    </xf>
    <xf numFmtId="2" fontId="14" fillId="2" borderId="35" xfId="0" applyNumberFormat="1" applyFont="1" applyFill="1" applyBorder="1" applyAlignment="1">
      <alignment wrapText="1"/>
    </xf>
    <xf numFmtId="0" fontId="10" fillId="0" borderId="13" xfId="0" applyFont="1" applyBorder="1"/>
    <xf numFmtId="165" fontId="14" fillId="0" borderId="35" xfId="0" applyNumberFormat="1" applyFont="1" applyBorder="1" applyAlignment="1">
      <alignment wrapText="1"/>
    </xf>
    <xf numFmtId="2" fontId="14" fillId="0" borderId="35" xfId="0" applyNumberFormat="1" applyFont="1" applyBorder="1" applyAlignment="1">
      <alignment wrapText="1"/>
    </xf>
    <xf numFmtId="2" fontId="14" fillId="0" borderId="35" xfId="0" applyNumberFormat="1" applyFont="1" applyBorder="1" applyAlignment="1">
      <alignment horizontal="right" wrapText="1"/>
    </xf>
    <xf numFmtId="49" fontId="11" fillId="2" borderId="12" xfId="0" applyNumberFormat="1" applyFont="1" applyFill="1" applyBorder="1" applyAlignment="1">
      <alignment wrapText="1"/>
    </xf>
    <xf numFmtId="49" fontId="8" fillId="5" borderId="6" xfId="0" applyNumberFormat="1" applyFont="1" applyFill="1" applyBorder="1" applyAlignment="1">
      <alignment wrapText="1"/>
    </xf>
    <xf numFmtId="49" fontId="17" fillId="5" borderId="6" xfId="0" applyNumberFormat="1" applyFont="1" applyFill="1" applyBorder="1" applyAlignment="1">
      <alignment horizontal="right" wrapText="1"/>
    </xf>
    <xf numFmtId="2" fontId="11" fillId="5" borderId="42" xfId="0" applyNumberFormat="1" applyFont="1" applyFill="1" applyBorder="1" applyAlignment="1">
      <alignment wrapText="1"/>
    </xf>
    <xf numFmtId="49" fontId="8" fillId="2" borderId="41" xfId="0" applyNumberFormat="1" applyFont="1" applyFill="1" applyBorder="1" applyAlignment="1">
      <alignment wrapText="1"/>
    </xf>
    <xf numFmtId="2" fontId="11" fillId="2" borderId="31" xfId="0" applyNumberFormat="1" applyFont="1" applyFill="1" applyBorder="1" applyAlignment="1">
      <alignment wrapText="1"/>
    </xf>
    <xf numFmtId="2" fontId="11" fillId="5" borderId="6" xfId="0" applyNumberFormat="1" applyFont="1" applyFill="1" applyBorder="1" applyAlignment="1">
      <alignment wrapText="1"/>
    </xf>
    <xf numFmtId="2" fontId="18" fillId="5" borderId="6" xfId="0" applyNumberFormat="1" applyFont="1" applyFill="1" applyBorder="1" applyAlignment="1">
      <alignment wrapText="1"/>
    </xf>
    <xf numFmtId="0" fontId="13" fillId="0" borderId="5" xfId="0" applyFont="1" applyBorder="1" applyAlignment="1">
      <alignment horizontal="center" vertical="center" wrapText="1"/>
    </xf>
    <xf numFmtId="49" fontId="11" fillId="2" borderId="43" xfId="0" applyNumberFormat="1" applyFont="1" applyFill="1" applyBorder="1" applyAlignment="1">
      <alignment horizontal="left" wrapText="1"/>
    </xf>
    <xf numFmtId="0" fontId="13" fillId="0" borderId="0" xfId="0" applyFont="1"/>
    <xf numFmtId="0" fontId="18" fillId="0" borderId="0" xfId="0" applyFont="1"/>
    <xf numFmtId="49" fontId="8" fillId="0" borderId="31" xfId="0" applyNumberFormat="1" applyFont="1" applyBorder="1" applyAlignment="1">
      <alignment wrapText="1"/>
    </xf>
    <xf numFmtId="49" fontId="34" fillId="5" borderId="44" xfId="0" applyNumberFormat="1" applyFont="1" applyFill="1" applyBorder="1" applyAlignment="1">
      <alignment wrapText="1"/>
    </xf>
    <xf numFmtId="2" fontId="27" fillId="5" borderId="6" xfId="0" applyNumberFormat="1" applyFont="1" applyFill="1" applyBorder="1" applyAlignment="1">
      <alignment wrapText="1"/>
    </xf>
    <xf numFmtId="49" fontId="11" fillId="2" borderId="45" xfId="0" applyNumberFormat="1" applyFont="1" applyFill="1" applyBorder="1" applyAlignment="1">
      <alignment horizontal="left" wrapText="1"/>
    </xf>
    <xf numFmtId="49" fontId="29" fillId="5" borderId="6" xfId="0" applyNumberFormat="1" applyFont="1" applyFill="1" applyBorder="1" applyAlignment="1">
      <alignment wrapText="1"/>
    </xf>
    <xf numFmtId="49" fontId="29" fillId="2" borderId="13" xfId="0" applyNumberFormat="1" applyFont="1" applyFill="1" applyBorder="1" applyAlignment="1">
      <alignment wrapText="1"/>
    </xf>
    <xf numFmtId="49" fontId="17" fillId="5" borderId="30" xfId="0" applyNumberFormat="1" applyFont="1" applyFill="1" applyBorder="1" applyAlignment="1">
      <alignment horizontal="right" wrapText="1"/>
    </xf>
    <xf numFmtId="2" fontId="27" fillId="5" borderId="22" xfId="0" applyNumberFormat="1" applyFont="1" applyFill="1" applyBorder="1" applyAlignment="1">
      <alignment wrapText="1"/>
    </xf>
    <xf numFmtId="2" fontId="27" fillId="2" borderId="12" xfId="0" applyNumberFormat="1" applyFont="1" applyFill="1" applyBorder="1" applyAlignment="1">
      <alignment wrapText="1"/>
    </xf>
    <xf numFmtId="2" fontId="27" fillId="0" borderId="12" xfId="0" applyNumberFormat="1" applyFont="1" applyBorder="1"/>
    <xf numFmtId="49" fontId="8" fillId="0" borderId="46" xfId="0" applyNumberFormat="1" applyFont="1" applyBorder="1" applyAlignment="1">
      <alignment wrapText="1"/>
    </xf>
    <xf numFmtId="49" fontId="8" fillId="5" borderId="22" xfId="0" applyNumberFormat="1" applyFont="1" applyFill="1" applyBorder="1" applyAlignment="1">
      <alignment wrapText="1"/>
    </xf>
    <xf numFmtId="49" fontId="18" fillId="5" borderId="30" xfId="0" applyNumberFormat="1" applyFont="1" applyFill="1" applyBorder="1" applyAlignment="1">
      <alignment horizontal="right" wrapText="1"/>
    </xf>
    <xf numFmtId="164" fontId="13" fillId="2" borderId="5" xfId="0" applyNumberFormat="1" applyFont="1" applyFill="1" applyBorder="1" applyAlignment="1">
      <alignment horizontal="right"/>
    </xf>
    <xf numFmtId="49" fontId="18" fillId="5" borderId="6" xfId="0" applyNumberFormat="1" applyFont="1" applyFill="1" applyBorder="1" applyAlignment="1">
      <alignment horizontal="right" wrapText="1"/>
    </xf>
    <xf numFmtId="164" fontId="19" fillId="2" borderId="5" xfId="0" applyNumberFormat="1" applyFont="1" applyFill="1" applyBorder="1" applyAlignment="1">
      <alignment horizontal="right"/>
    </xf>
    <xf numFmtId="49" fontId="17" fillId="5" borderId="47" xfId="0" applyNumberFormat="1" applyFont="1" applyFill="1" applyBorder="1" applyAlignment="1">
      <alignment horizontal="right" wrapText="1"/>
    </xf>
    <xf numFmtId="2" fontId="27" fillId="5" borderId="19" xfId="0" applyNumberFormat="1" applyFont="1" applyFill="1" applyBorder="1" applyAlignment="1">
      <alignment wrapText="1"/>
    </xf>
    <xf numFmtId="49" fontId="18" fillId="5" borderId="47" xfId="0" applyNumberFormat="1" applyFont="1" applyFill="1" applyBorder="1" applyAlignment="1">
      <alignment horizontal="right" wrapText="1"/>
    </xf>
    <xf numFmtId="164" fontId="20" fillId="2" borderId="5" xfId="0" applyNumberFormat="1" applyFont="1" applyFill="1" applyBorder="1" applyAlignment="1">
      <alignment horizontal="right"/>
    </xf>
    <xf numFmtId="164" fontId="26" fillId="2" borderId="5" xfId="0" applyNumberFormat="1" applyFont="1" applyFill="1" applyBorder="1" applyAlignment="1">
      <alignment horizontal="right"/>
    </xf>
    <xf numFmtId="2" fontId="15" fillId="5" borderId="22" xfId="0" applyNumberFormat="1" applyFont="1" applyFill="1" applyBorder="1" applyAlignment="1">
      <alignment wrapText="1"/>
    </xf>
    <xf numFmtId="2" fontId="11" fillId="5" borderId="22" xfId="0" applyNumberFormat="1" applyFont="1" applyFill="1" applyBorder="1" applyAlignment="1">
      <alignment wrapText="1"/>
    </xf>
    <xf numFmtId="164" fontId="26" fillId="0" borderId="5" xfId="0" applyNumberFormat="1" applyFont="1" applyBorder="1" applyAlignment="1">
      <alignment horizontal="right"/>
    </xf>
    <xf numFmtId="2" fontId="15" fillId="5" borderId="19" xfId="0" applyNumberFormat="1" applyFont="1" applyFill="1" applyBorder="1" applyAlignment="1">
      <alignment wrapText="1"/>
    </xf>
    <xf numFmtId="2" fontId="8" fillId="5" borderId="22" xfId="0" applyNumberFormat="1" applyFont="1" applyFill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2" fontId="11" fillId="5" borderId="19" xfId="0" applyNumberFormat="1" applyFont="1" applyFill="1" applyBorder="1" applyAlignment="1">
      <alignment wrapText="1"/>
    </xf>
    <xf numFmtId="2" fontId="8" fillId="5" borderId="19" xfId="0" applyNumberFormat="1" applyFont="1" applyFill="1" applyBorder="1" applyAlignment="1">
      <alignment wrapText="1"/>
    </xf>
    <xf numFmtId="0" fontId="13" fillId="0" borderId="48" xfId="0" applyFont="1" applyBorder="1" applyAlignment="1">
      <alignment horizontal="center" vertical="center" wrapText="1"/>
    </xf>
    <xf numFmtId="2" fontId="30" fillId="0" borderId="12" xfId="0" applyNumberFormat="1" applyFont="1" applyBorder="1"/>
    <xf numFmtId="49" fontId="17" fillId="0" borderId="0" xfId="0" applyNumberFormat="1" applyFont="1" applyAlignment="1">
      <alignment wrapText="1"/>
    </xf>
    <xf numFmtId="165" fontId="33" fillId="0" borderId="34" xfId="0" applyNumberFormat="1" applyFont="1" applyBorder="1" applyAlignment="1">
      <alignment wrapText="1"/>
    </xf>
    <xf numFmtId="165" fontId="33" fillId="2" borderId="34" xfId="0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2" fontId="30" fillId="2" borderId="12" xfId="0" applyNumberFormat="1" applyFont="1" applyFill="1" applyBorder="1"/>
    <xf numFmtId="49" fontId="34" fillId="5" borderId="31" xfId="0" applyNumberFormat="1" applyFont="1" applyFill="1" applyBorder="1" applyAlignment="1">
      <alignment wrapText="1"/>
    </xf>
    <xf numFmtId="2" fontId="34" fillId="5" borderId="32" xfId="0" applyNumberFormat="1" applyFont="1" applyFill="1" applyBorder="1" applyAlignment="1">
      <alignment wrapText="1"/>
    </xf>
    <xf numFmtId="2" fontId="18" fillId="0" borderId="31" xfId="0" applyNumberFormat="1" applyFont="1" applyBorder="1"/>
    <xf numFmtId="49" fontId="34" fillId="0" borderId="31" xfId="0" applyNumberFormat="1" applyFont="1" applyBorder="1" applyAlignment="1">
      <alignment wrapText="1"/>
    </xf>
    <xf numFmtId="49" fontId="29" fillId="0" borderId="41" xfId="0" applyNumberFormat="1" applyFont="1" applyBorder="1" applyAlignment="1">
      <alignment wrapText="1"/>
    </xf>
    <xf numFmtId="2" fontId="14" fillId="0" borderId="15" xfId="0" applyNumberFormat="1" applyFont="1" applyBorder="1" applyAlignment="1">
      <alignment wrapText="1"/>
    </xf>
    <xf numFmtId="0" fontId="13" fillId="0" borderId="49" xfId="0" applyFont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wrapText="1"/>
    </xf>
    <xf numFmtId="2" fontId="14" fillId="2" borderId="31" xfId="0" applyNumberFormat="1" applyFont="1" applyFill="1" applyBorder="1" applyAlignment="1">
      <alignment wrapText="1"/>
    </xf>
    <xf numFmtId="2" fontId="34" fillId="0" borderId="31" xfId="0" applyNumberFormat="1" applyFont="1" applyBorder="1" applyAlignment="1">
      <alignment wrapText="1"/>
    </xf>
    <xf numFmtId="2" fontId="14" fillId="0" borderId="31" xfId="0" applyNumberFormat="1" applyFont="1" applyBorder="1" applyAlignment="1">
      <alignment wrapText="1"/>
    </xf>
    <xf numFmtId="49" fontId="34" fillId="0" borderId="35" xfId="0" applyNumberFormat="1" applyFont="1" applyBorder="1" applyAlignment="1">
      <alignment wrapText="1"/>
    </xf>
    <xf numFmtId="2" fontId="34" fillId="0" borderId="50" xfId="0" applyNumberFormat="1" applyFont="1" applyBorder="1" applyAlignment="1">
      <alignment wrapText="1"/>
    </xf>
    <xf numFmtId="2" fontId="34" fillId="2" borderId="12" xfId="0" applyNumberFormat="1" applyFont="1" applyFill="1" applyBorder="1" applyAlignment="1">
      <alignment wrapText="1"/>
    </xf>
    <xf numFmtId="2" fontId="34" fillId="2" borderId="0" xfId="0" applyNumberFormat="1" applyFont="1" applyFill="1" applyAlignment="1">
      <alignment wrapText="1"/>
    </xf>
    <xf numFmtId="2" fontId="34" fillId="0" borderId="1" xfId="0" applyNumberFormat="1" applyFont="1" applyBorder="1" applyAlignment="1">
      <alignment wrapText="1"/>
    </xf>
    <xf numFmtId="49" fontId="34" fillId="4" borderId="35" xfId="0" applyNumberFormat="1" applyFont="1" applyFill="1" applyBorder="1" applyAlignment="1">
      <alignment wrapText="1"/>
    </xf>
    <xf numFmtId="49" fontId="33" fillId="0" borderId="35" xfId="0" applyNumberFormat="1" applyFont="1" applyBorder="1" applyAlignment="1">
      <alignment wrapText="1"/>
    </xf>
    <xf numFmtId="2" fontId="34" fillId="0" borderId="35" xfId="0" applyNumberFormat="1" applyFont="1" applyBorder="1" applyAlignment="1">
      <alignment wrapText="1"/>
    </xf>
    <xf numFmtId="49" fontId="34" fillId="2" borderId="30" xfId="0" applyNumberFormat="1" applyFont="1" applyFill="1" applyBorder="1" applyAlignment="1">
      <alignment wrapText="1"/>
    </xf>
    <xf numFmtId="49" fontId="34" fillId="0" borderId="35" xfId="0" applyNumberFormat="1" applyFont="1" applyBorder="1"/>
    <xf numFmtId="49" fontId="34" fillId="0" borderId="3" xfId="0" applyNumberFormat="1" applyFont="1" applyBorder="1" applyAlignment="1">
      <alignment wrapText="1"/>
    </xf>
    <xf numFmtId="2" fontId="27" fillId="0" borderId="0" xfId="0" applyNumberFormat="1" applyFont="1"/>
    <xf numFmtId="0" fontId="34" fillId="0" borderId="0" xfId="0" applyFont="1" applyAlignment="1">
      <alignment vertical="center"/>
    </xf>
    <xf numFmtId="2" fontId="11" fillId="3" borderId="0" xfId="0" applyNumberFormat="1" applyFont="1" applyFill="1" applyAlignment="1">
      <alignment wrapText="1"/>
    </xf>
    <xf numFmtId="2" fontId="10" fillId="2" borderId="0" xfId="0" applyNumberFormat="1" applyFont="1" applyFill="1" applyAlignment="1">
      <alignment wrapText="1"/>
    </xf>
    <xf numFmtId="0" fontId="10" fillId="2" borderId="22" xfId="0" applyFont="1" applyFill="1" applyBorder="1"/>
    <xf numFmtId="0" fontId="10" fillId="0" borderId="5" xfId="0" applyFont="1" applyBorder="1"/>
    <xf numFmtId="0" fontId="10" fillId="2" borderId="3" xfId="0" applyFont="1" applyFill="1" applyBorder="1"/>
    <xf numFmtId="2" fontId="34" fillId="0" borderId="12" xfId="0" applyNumberFormat="1" applyFont="1" applyBorder="1" applyAlignment="1">
      <alignment wrapText="1"/>
    </xf>
    <xf numFmtId="2" fontId="11" fillId="3" borderId="12" xfId="0" applyNumberFormat="1" applyFont="1" applyFill="1" applyBorder="1" applyAlignment="1">
      <alignment wrapText="1"/>
    </xf>
    <xf numFmtId="0" fontId="15" fillId="2" borderId="51" xfId="0" applyFont="1" applyFill="1" applyBorder="1"/>
    <xf numFmtId="165" fontId="14" fillId="2" borderId="32" xfId="0" applyNumberFormat="1" applyFont="1" applyFill="1" applyBorder="1" applyAlignment="1">
      <alignment wrapText="1"/>
    </xf>
    <xf numFmtId="2" fontId="11" fillId="2" borderId="1" xfId="0" applyNumberFormat="1" applyFont="1" applyFill="1" applyBorder="1" applyAlignment="1">
      <alignment wrapText="1"/>
    </xf>
    <xf numFmtId="165" fontId="14" fillId="2" borderId="12" xfId="0" applyNumberFormat="1" applyFont="1" applyFill="1" applyBorder="1" applyAlignment="1">
      <alignment wrapText="1"/>
    </xf>
    <xf numFmtId="0" fontId="32" fillId="0" borderId="41" xfId="0" applyFont="1" applyBorder="1"/>
    <xf numFmtId="0" fontId="10" fillId="2" borderId="41" xfId="0" applyFont="1" applyFill="1" applyBorder="1"/>
    <xf numFmtId="49" fontId="8" fillId="2" borderId="52" xfId="0" applyNumberFormat="1" applyFont="1" applyFill="1" applyBorder="1" applyAlignment="1">
      <alignment wrapText="1"/>
    </xf>
    <xf numFmtId="49" fontId="10" fillId="0" borderId="3" xfId="0" applyNumberFormat="1" applyFont="1" applyBorder="1"/>
    <xf numFmtId="2" fontId="10" fillId="2" borderId="14" xfId="0" applyNumberFormat="1" applyFont="1" applyFill="1" applyBorder="1" applyAlignment="1">
      <alignment wrapText="1"/>
    </xf>
    <xf numFmtId="49" fontId="11" fillId="2" borderId="2" xfId="0" applyNumberFormat="1" applyFont="1" applyFill="1" applyBorder="1"/>
    <xf numFmtId="0" fontId="11" fillId="2" borderId="2" xfId="0" applyFont="1" applyFill="1" applyBorder="1"/>
    <xf numFmtId="0" fontId="10" fillId="0" borderId="41" xfId="0" applyFont="1" applyBorder="1"/>
    <xf numFmtId="49" fontId="14" fillId="0" borderId="31" xfId="0" applyNumberFormat="1" applyFont="1" applyBorder="1" applyAlignment="1">
      <alignment wrapText="1"/>
    </xf>
    <xf numFmtId="2" fontId="11" fillId="0" borderId="12" xfId="0" applyNumberFormat="1" applyFont="1" applyBorder="1"/>
    <xf numFmtId="0" fontId="10" fillId="0" borderId="31" xfId="0" applyFont="1" applyBorder="1"/>
    <xf numFmtId="49" fontId="14" fillId="0" borderId="53" xfId="0" applyNumberFormat="1" applyFont="1" applyBorder="1" applyAlignment="1">
      <alignment wrapText="1"/>
    </xf>
    <xf numFmtId="49" fontId="14" fillId="0" borderId="3" xfId="0" applyNumberFormat="1" applyFont="1" applyBorder="1" applyAlignment="1">
      <alignment wrapText="1"/>
    </xf>
    <xf numFmtId="49" fontId="14" fillId="0" borderId="54" xfId="0" applyNumberFormat="1" applyFont="1" applyBorder="1" applyAlignment="1">
      <alignment wrapText="1"/>
    </xf>
    <xf numFmtId="2" fontId="14" fillId="0" borderId="55" xfId="0" applyNumberFormat="1" applyFont="1" applyBorder="1" applyAlignment="1">
      <alignment wrapText="1"/>
    </xf>
    <xf numFmtId="49" fontId="8" fillId="0" borderId="54" xfId="0" applyNumberFormat="1" applyFont="1" applyBorder="1" applyAlignment="1">
      <alignment wrapText="1"/>
    </xf>
    <xf numFmtId="2" fontId="14" fillId="0" borderId="56" xfId="0" applyNumberFormat="1" applyFont="1" applyBorder="1" applyAlignment="1">
      <alignment wrapText="1"/>
    </xf>
    <xf numFmtId="49" fontId="8" fillId="5" borderId="57" xfId="0" applyNumberFormat="1" applyFont="1" applyFill="1" applyBorder="1" applyAlignment="1">
      <alignment wrapText="1"/>
    </xf>
    <xf numFmtId="2" fontId="11" fillId="5" borderId="58" xfId="0" applyNumberFormat="1" applyFont="1" applyFill="1" applyBorder="1" applyAlignment="1">
      <alignment wrapText="1"/>
    </xf>
    <xf numFmtId="2" fontId="18" fillId="5" borderId="58" xfId="0" applyNumberFormat="1" applyFont="1" applyFill="1" applyBorder="1" applyAlignment="1">
      <alignment wrapText="1"/>
    </xf>
    <xf numFmtId="49" fontId="8" fillId="2" borderId="54" xfId="0" applyNumberFormat="1" applyFont="1" applyFill="1" applyBorder="1" applyAlignment="1">
      <alignment wrapText="1"/>
    </xf>
    <xf numFmtId="49" fontId="11" fillId="2" borderId="59" xfId="0" applyNumberFormat="1" applyFont="1" applyFill="1" applyBorder="1" applyAlignment="1">
      <alignment horizontal="left" wrapText="1"/>
    </xf>
    <xf numFmtId="2" fontId="14" fillId="0" borderId="60" xfId="0" applyNumberFormat="1" applyFont="1" applyBorder="1" applyAlignment="1">
      <alignment wrapText="1"/>
    </xf>
    <xf numFmtId="2" fontId="14" fillId="0" borderId="60" xfId="0" applyNumberFormat="1" applyFont="1" applyBorder="1" applyAlignment="1">
      <alignment horizontal="right" wrapText="1"/>
    </xf>
    <xf numFmtId="165" fontId="14" fillId="2" borderId="60" xfId="0" applyNumberFormat="1" applyFont="1" applyFill="1" applyBorder="1" applyAlignment="1">
      <alignment wrapText="1"/>
    </xf>
  </cellXfs>
  <cellStyles count="3">
    <cellStyle name="Koma" xfId="2" builtinId="3"/>
    <cellStyle name="Normaallaad" xfId="0" builtinId="0"/>
    <cellStyle name="Valuuta" xfId="1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690561</xdr:colOff>
      <xdr:row>0</xdr:row>
      <xdr:rowOff>107156</xdr:rowOff>
    </xdr:from>
    <xdr:to>
      <xdr:col>7</xdr:col>
      <xdr:colOff>69015</xdr:colOff>
      <xdr:row>2</xdr:row>
      <xdr:rowOff>103260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5F214D73-0E84-4042-A3AC-7DF68B346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7936" y="107156"/>
          <a:ext cx="1949618" cy="83827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583406</xdr:colOff>
      <xdr:row>0</xdr:row>
      <xdr:rowOff>0</xdr:rowOff>
    </xdr:from>
    <xdr:to>
      <xdr:col>7</xdr:col>
      <xdr:colOff>211305</xdr:colOff>
      <xdr:row>2</xdr:row>
      <xdr:rowOff>16742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251E63F9-4DCC-477F-B963-5BA71711D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81750" y="0"/>
          <a:ext cx="1949618" cy="838273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547687</xdr:colOff>
      <xdr:row>0</xdr:row>
      <xdr:rowOff>0</xdr:rowOff>
    </xdr:from>
    <xdr:to>
      <xdr:col>7</xdr:col>
      <xdr:colOff>178761</xdr:colOff>
      <xdr:row>2</xdr:row>
      <xdr:rowOff>135804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A6814B49-5138-44F4-BC82-60A48F027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88843" y="0"/>
          <a:ext cx="1949618" cy="838273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392907</xdr:colOff>
      <xdr:row>0</xdr:row>
      <xdr:rowOff>130968</xdr:rowOff>
    </xdr:from>
    <xdr:to>
      <xdr:col>6</xdr:col>
      <xdr:colOff>583575</xdr:colOff>
      <xdr:row>2</xdr:row>
      <xdr:rowOff>135803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4E2950FA-4B74-49E0-A196-6BD5B0DA6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55657" y="130968"/>
          <a:ext cx="1949618" cy="83827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535781</xdr:colOff>
      <xdr:row>0</xdr:row>
      <xdr:rowOff>0</xdr:rowOff>
    </xdr:from>
    <xdr:to>
      <xdr:col>7</xdr:col>
      <xdr:colOff>26362</xdr:colOff>
      <xdr:row>1</xdr:row>
      <xdr:rowOff>457273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08B16576-4C2D-411E-87B3-583DC2E86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0"/>
          <a:ext cx="1949618" cy="838273"/>
        </a:xfrm>
        <a:prstGeom prst="rect">
          <a:avLst/>
        </a:prstGeom>
      </xdr:spPr>
    </xdr:pic>
    <xdr:clientData/>
  </xdr:twoCellAnchor>
  <xdr:twoCellAnchor editAs="oneCell">
    <xdr:from>
      <xdr:col>4</xdr:col>
      <xdr:colOff>535781</xdr:colOff>
      <xdr:row>0</xdr:row>
      <xdr:rowOff>0</xdr:rowOff>
    </xdr:from>
    <xdr:to>
      <xdr:col>7</xdr:col>
      <xdr:colOff>29537</xdr:colOff>
      <xdr:row>1</xdr:row>
      <xdr:rowOff>457273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42F251B2-255D-41DB-A236-1ADB6A94C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1931" y="0"/>
          <a:ext cx="2065506" cy="83827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523876</xdr:colOff>
      <xdr:row>0</xdr:row>
      <xdr:rowOff>0</xdr:rowOff>
    </xdr:from>
    <xdr:to>
      <xdr:col>7</xdr:col>
      <xdr:colOff>29538</xdr:colOff>
      <xdr:row>2</xdr:row>
      <xdr:rowOff>135804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DC4B99A9-D2E1-4951-B87A-DCD82116D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1689" y="0"/>
          <a:ext cx="1949618" cy="838273"/>
        </a:xfrm>
        <a:prstGeom prst="rect">
          <a:avLst/>
        </a:prstGeom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511968</xdr:colOff>
      <xdr:row>0</xdr:row>
      <xdr:rowOff>0</xdr:rowOff>
    </xdr:from>
    <xdr:to>
      <xdr:col>7</xdr:col>
      <xdr:colOff>962</xdr:colOff>
      <xdr:row>2</xdr:row>
      <xdr:rowOff>46110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65689E5B-091C-41EC-B672-8B5C63D50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22218" y="0"/>
          <a:ext cx="1949618" cy="838273"/>
        </a:xfrm>
        <a:prstGeom prst="rect">
          <a:avLst/>
        </a:prstGeom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514350</xdr:colOff>
      <xdr:row>0</xdr:row>
      <xdr:rowOff>95250</xdr:rowOff>
    </xdr:from>
    <xdr:to>
      <xdr:col>6</xdr:col>
      <xdr:colOff>768518</xdr:colOff>
      <xdr:row>1</xdr:row>
      <xdr:rowOff>592740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DBA5CB85-967C-429A-B71A-915C1F23D8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19825" y="95250"/>
          <a:ext cx="1949618" cy="8382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0</xdr:row>
      <xdr:rowOff>35720</xdr:rowOff>
    </xdr:from>
    <xdr:to>
      <xdr:col>7</xdr:col>
      <xdr:colOff>20803</xdr:colOff>
      <xdr:row>2</xdr:row>
      <xdr:rowOff>67543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E4EFD33F-AEC1-4FDF-9B76-86BB6BC4E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6469" y="35720"/>
          <a:ext cx="1949618" cy="8382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511970</xdr:colOff>
      <xdr:row>0</xdr:row>
      <xdr:rowOff>71438</xdr:rowOff>
    </xdr:from>
    <xdr:to>
      <xdr:col>7</xdr:col>
      <xdr:colOff>143045</xdr:colOff>
      <xdr:row>2</xdr:row>
      <xdr:rowOff>111992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55F9FEA3-AD14-4EDF-8FD2-4E224A37E6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24626" y="71438"/>
          <a:ext cx="1949618" cy="8382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595313</xdr:colOff>
      <xdr:row>0</xdr:row>
      <xdr:rowOff>83343</xdr:rowOff>
    </xdr:from>
    <xdr:to>
      <xdr:col>7</xdr:col>
      <xdr:colOff>216862</xdr:colOff>
      <xdr:row>2</xdr:row>
      <xdr:rowOff>106435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48627790-075A-406F-80EF-224D73721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3188" y="83343"/>
          <a:ext cx="1949618" cy="83827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869156</xdr:colOff>
      <xdr:row>0</xdr:row>
      <xdr:rowOff>130968</xdr:rowOff>
    </xdr:from>
    <xdr:to>
      <xdr:col>7</xdr:col>
      <xdr:colOff>143044</xdr:colOff>
      <xdr:row>2</xdr:row>
      <xdr:rowOff>85003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F53F68E4-769F-4560-89D3-706556F60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79344" y="130968"/>
          <a:ext cx="1949618" cy="83827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511969</xdr:colOff>
      <xdr:row>0</xdr:row>
      <xdr:rowOff>130969</xdr:rowOff>
    </xdr:from>
    <xdr:to>
      <xdr:col>7</xdr:col>
      <xdr:colOff>143043</xdr:colOff>
      <xdr:row>1</xdr:row>
      <xdr:rowOff>484261</xdr:rowOff>
    </xdr:to>
    <xdr:pic>
      <xdr:nvPicPr>
        <xdr:cNvPr id="2" name="Pilt 4">
          <a:extLst>
            <a:ext uri="{FF2B5EF4-FFF2-40B4-BE49-F238E27FC236}">
              <a16:creationId xmlns:a16="http://schemas.microsoft.com/office/drawing/2014/main" id="{DE1FA82A-9AFA-4542-AB4A-9BB3C0B8C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0" y="130969"/>
          <a:ext cx="1949618" cy="83827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511968</xdr:colOff>
      <xdr:row>0</xdr:row>
      <xdr:rowOff>59531</xdr:rowOff>
    </xdr:from>
    <xdr:to>
      <xdr:col>7</xdr:col>
      <xdr:colOff>139867</xdr:colOff>
      <xdr:row>2</xdr:row>
      <xdr:rowOff>64366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F1001828-0723-4482-98DF-5B48D8036C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29312" y="59531"/>
          <a:ext cx="1949618" cy="83827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476249</xdr:colOff>
      <xdr:row>0</xdr:row>
      <xdr:rowOff>83344</xdr:rowOff>
    </xdr:from>
    <xdr:to>
      <xdr:col>7</xdr:col>
      <xdr:colOff>107323</xdr:colOff>
      <xdr:row>2</xdr:row>
      <xdr:rowOff>103261</xdr:rowOff>
    </xdr:to>
    <xdr:pic>
      <xdr:nvPicPr>
        <xdr:cNvPr id="3" name="Pilt 4">
          <a:extLst>
            <a:ext uri="{FF2B5EF4-FFF2-40B4-BE49-F238E27FC236}">
              <a16:creationId xmlns:a16="http://schemas.microsoft.com/office/drawing/2014/main" id="{F78E5EE2-103B-43BF-8C25-66E6674E25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24562" y="83344"/>
          <a:ext cx="1949618" cy="83827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488157</xdr:colOff>
      <xdr:row>0</xdr:row>
      <xdr:rowOff>0</xdr:rowOff>
    </xdr:from>
    <xdr:to>
      <xdr:col>6</xdr:col>
      <xdr:colOff>687556</xdr:colOff>
      <xdr:row>2</xdr:row>
      <xdr:rowOff>11185</xdr:rowOff>
    </xdr:to>
    <xdr:pic>
      <xdr:nvPicPr>
        <xdr:cNvPr id="4" name="Pilt 4">
          <a:extLst>
            <a:ext uri="{FF2B5EF4-FFF2-40B4-BE49-F238E27FC236}">
              <a16:creationId xmlns:a16="http://schemas.microsoft.com/office/drawing/2014/main" id="{CAB9EFCE-47F6-4AF2-AC10-837879E927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19813" y="0"/>
          <a:ext cx="1949618" cy="8382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erli\Desktop\P&#228;rnu%20koolid%202023\10-23%20koolil&#245;una%20P&#228;rnu%203X3%20praadi-2X3%20II%20ja%20G&#220;M.xlsx" TargetMode="External"/><Relationship Id="rId1" Type="http://schemas.openxmlformats.org/officeDocument/2006/relationships/externalLinkPath" Target="/Users/Kerli/Desktop/P&#228;rnu%20koolid%202023/10-23%20koolil&#245;una%20P&#228;rnu%203X3%20praadi-2X3%20II%20ja%20G&#220;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ine 40"/>
      <sheetName val="Teine 41"/>
      <sheetName val="Teine 42"/>
      <sheetName val="Teine 44"/>
      <sheetName val="Güm 40"/>
      <sheetName val="Güm 41"/>
      <sheetName val="Güm 42"/>
      <sheetName val="Güm 44"/>
    </sheetNames>
    <sheetDataSet>
      <sheetData sheetId="0">
        <row r="2">
          <cell r="A2" t="str">
            <v>Koolilõuna 02.10-06.10.2023</v>
          </cell>
        </row>
        <row r="4">
          <cell r="B4" t="str">
            <v xml:space="preserve">Küpsetatud kanakitsuliha </v>
          </cell>
          <cell r="C4">
            <v>50</v>
          </cell>
          <cell r="D4">
            <v>72</v>
          </cell>
          <cell r="E4">
            <v>0.68</v>
          </cell>
          <cell r="F4">
            <v>3.26</v>
          </cell>
          <cell r="G4">
            <v>10.46</v>
          </cell>
        </row>
        <row r="5">
          <cell r="B5" t="str">
            <v>Hautatud sealiha</v>
          </cell>
          <cell r="C5">
            <v>50</v>
          </cell>
          <cell r="D5">
            <v>85</v>
          </cell>
          <cell r="E5">
            <v>0.11</v>
          </cell>
          <cell r="F5">
            <v>7.3</v>
          </cell>
          <cell r="G5">
            <v>10.88</v>
          </cell>
        </row>
        <row r="6">
          <cell r="B6" t="str">
            <v>Magushapus kaste</v>
          </cell>
          <cell r="C6">
            <v>50</v>
          </cell>
          <cell r="D6">
            <v>38.299999999999997</v>
          </cell>
          <cell r="E6">
            <v>9.25</v>
          </cell>
          <cell r="F6">
            <v>0</v>
          </cell>
        </row>
        <row r="7">
          <cell r="B7" t="str">
            <v>Täisterapasta/pasta (G)</v>
          </cell>
          <cell r="C7">
            <v>50</v>
          </cell>
          <cell r="D7">
            <v>89.46</v>
          </cell>
          <cell r="E7">
            <v>17.047000000000001</v>
          </cell>
          <cell r="F7">
            <v>0.7</v>
          </cell>
          <cell r="G7">
            <v>3.3014999999999999</v>
          </cell>
        </row>
        <row r="8">
          <cell r="B8" t="str">
            <v>Riis, aurutatud</v>
          </cell>
          <cell r="C8">
            <v>50</v>
          </cell>
          <cell r="D8">
            <v>64.61</v>
          </cell>
          <cell r="E8">
            <v>14.31</v>
          </cell>
          <cell r="F8">
            <v>0.127</v>
          </cell>
          <cell r="G8">
            <v>1.4697</v>
          </cell>
        </row>
        <row r="9">
          <cell r="B9" t="str">
            <v>Kusskuss, keedetud (G)</v>
          </cell>
          <cell r="C9">
            <v>30</v>
          </cell>
          <cell r="D9">
            <v>36.353999999999999</v>
          </cell>
          <cell r="E9">
            <v>7.524</v>
          </cell>
          <cell r="F9">
            <v>0.216</v>
          </cell>
          <cell r="G9">
            <v>1.236</v>
          </cell>
        </row>
        <row r="10">
          <cell r="B10" t="str">
            <v>Porgandi-ananassisalat</v>
          </cell>
          <cell r="C10">
            <v>50</v>
          </cell>
          <cell r="D10">
            <v>22.65</v>
          </cell>
          <cell r="E10">
            <v>4.32</v>
          </cell>
          <cell r="F10">
            <v>0.77</v>
          </cell>
          <cell r="G10">
            <v>0.28999999999999998</v>
          </cell>
        </row>
        <row r="11">
          <cell r="B11" t="str">
            <v>Punane kapsas, mais, juurseller (röstitu)</v>
          </cell>
          <cell r="C11">
            <v>50</v>
          </cell>
          <cell r="D11">
            <v>32.35</v>
          </cell>
          <cell r="E11">
            <v>4.53</v>
          </cell>
          <cell r="F11">
            <v>0.94</v>
          </cell>
          <cell r="G11">
            <v>0.92</v>
          </cell>
        </row>
        <row r="12">
          <cell r="B12" t="str">
            <v>Salatikaste</v>
          </cell>
          <cell r="C12">
            <v>5</v>
          </cell>
          <cell r="D12">
            <v>35.25</v>
          </cell>
          <cell r="E12">
            <v>0.03</v>
          </cell>
          <cell r="F12">
            <v>2.9</v>
          </cell>
          <cell r="G12">
            <v>0.01</v>
          </cell>
        </row>
        <row r="15">
          <cell r="B15" t="str">
            <v>Rukkileiva- ja sepikutoodete valik (G)</v>
          </cell>
          <cell r="C15">
            <v>50</v>
          </cell>
          <cell r="D15">
            <v>115</v>
          </cell>
          <cell r="E15">
            <v>24.6</v>
          </cell>
          <cell r="F15">
            <v>0.83</v>
          </cell>
          <cell r="G15">
            <v>3.94</v>
          </cell>
        </row>
        <row r="16">
          <cell r="C16">
            <v>100</v>
          </cell>
          <cell r="D16">
            <v>48.3</v>
          </cell>
          <cell r="E16">
            <v>10.9</v>
          </cell>
          <cell r="F16">
            <v>0</v>
          </cell>
        </row>
        <row r="17">
          <cell r="B17" t="str">
            <v>Kokku:</v>
          </cell>
        </row>
        <row r="20">
          <cell r="B20" t="str">
            <v>Rassolnik sealihaga (G)</v>
          </cell>
          <cell r="C20">
            <v>125</v>
          </cell>
          <cell r="D20">
            <v>90.125</v>
          </cell>
          <cell r="E20">
            <v>12.625</v>
          </cell>
          <cell r="F20">
            <v>2.99</v>
          </cell>
          <cell r="G20">
            <v>1.9450000000000001</v>
          </cell>
        </row>
        <row r="21">
          <cell r="B21" t="str">
            <v>Tomatine läätsesupp veiselihaga</v>
          </cell>
          <cell r="C21">
            <v>125</v>
          </cell>
          <cell r="D21">
            <v>112.5</v>
          </cell>
          <cell r="E21">
            <v>15.925000000000001</v>
          </cell>
          <cell r="F21">
            <v>5.7</v>
          </cell>
          <cell r="G21">
            <v>4.6749999999999998</v>
          </cell>
        </row>
        <row r="22">
          <cell r="B22" t="str">
            <v>Hapukoor (L)</v>
          </cell>
          <cell r="C22">
            <v>10</v>
          </cell>
          <cell r="D22">
            <v>22.2</v>
          </cell>
          <cell r="E22">
            <v>0.38</v>
          </cell>
          <cell r="F22">
            <v>2.15</v>
          </cell>
          <cell r="G22">
            <v>0.33</v>
          </cell>
        </row>
        <row r="23">
          <cell r="B23" t="str">
            <v>Kohupiimakreem mustikakisselliga (L)</v>
          </cell>
          <cell r="C23">
            <v>160</v>
          </cell>
          <cell r="D23">
            <v>219.2</v>
          </cell>
          <cell r="E23">
            <v>24</v>
          </cell>
          <cell r="F23">
            <v>11.31</v>
          </cell>
          <cell r="G23">
            <v>5.34</v>
          </cell>
        </row>
        <row r="25">
          <cell r="B25" t="str">
            <v>Rukkileiva- ja sepikutoodete valik (G)</v>
          </cell>
          <cell r="C25">
            <v>50</v>
          </cell>
          <cell r="D25">
            <v>115</v>
          </cell>
          <cell r="E25">
            <v>24.6</v>
          </cell>
          <cell r="F25">
            <v>0.83</v>
          </cell>
          <cell r="G25">
            <v>3.94</v>
          </cell>
        </row>
        <row r="26">
          <cell r="C26">
            <v>100</v>
          </cell>
          <cell r="D26">
            <v>35.6</v>
          </cell>
          <cell r="E26">
            <v>6.22</v>
          </cell>
          <cell r="F26">
            <v>0.1</v>
          </cell>
          <cell r="G26">
            <v>1.1000000000000001</v>
          </cell>
        </row>
        <row r="27">
          <cell r="B27" t="str">
            <v>Kokku:</v>
          </cell>
        </row>
        <row r="30">
          <cell r="B30" t="str">
            <v>Maksastrooganov (L, G)</v>
          </cell>
          <cell r="C30">
            <v>70</v>
          </cell>
          <cell r="D30">
            <v>112</v>
          </cell>
          <cell r="E30">
            <v>12.53</v>
          </cell>
          <cell r="F30">
            <v>7.0049999999999999</v>
          </cell>
          <cell r="G30">
            <v>9.1199999999999992</v>
          </cell>
        </row>
        <row r="31">
          <cell r="B31" t="str">
            <v>Kalkuni-köögiviljakaste ürtidega (L, G)</v>
          </cell>
          <cell r="C31">
            <v>70</v>
          </cell>
          <cell r="D31">
            <v>102.24</v>
          </cell>
          <cell r="E31">
            <v>11.9</v>
          </cell>
          <cell r="F31">
            <v>5.91</v>
          </cell>
          <cell r="G31">
            <v>5.7450000000000001</v>
          </cell>
        </row>
        <row r="32">
          <cell r="B32" t="str">
            <v>Kartulipüree (L)</v>
          </cell>
          <cell r="C32">
            <v>50</v>
          </cell>
          <cell r="D32">
            <v>44.927999999999997</v>
          </cell>
          <cell r="E32">
            <v>7.2065000000000001</v>
          </cell>
          <cell r="F32">
            <v>1.1786000000000001</v>
          </cell>
          <cell r="G32">
            <v>1.1715</v>
          </cell>
        </row>
        <row r="33">
          <cell r="B33" t="str">
            <v>Tatar, aurutatud</v>
          </cell>
          <cell r="C33">
            <v>50</v>
          </cell>
          <cell r="D33">
            <v>37.488</v>
          </cell>
          <cell r="E33">
            <v>8.6620000000000008</v>
          </cell>
          <cell r="F33">
            <v>4.9700000000000001E-2</v>
          </cell>
          <cell r="G33">
            <v>0.97270000000000001</v>
          </cell>
        </row>
        <row r="34">
          <cell r="B34" t="str">
            <v>Kolme riisi segu, aurutatud</v>
          </cell>
          <cell r="C34">
            <v>50</v>
          </cell>
          <cell r="D34">
            <v>37.488</v>
          </cell>
        </row>
        <row r="35">
          <cell r="B35" t="str">
            <v>Peedisalat jõhvikatega</v>
          </cell>
          <cell r="C35">
            <v>50</v>
          </cell>
          <cell r="D35">
            <v>19.850000000000001</v>
          </cell>
          <cell r="E35">
            <v>3.38</v>
          </cell>
          <cell r="F35">
            <v>0.1</v>
          </cell>
          <cell r="G35">
            <v>0.71</v>
          </cell>
        </row>
        <row r="36">
          <cell r="B36" t="str">
            <v>Porgand, Hiina kapsas, roheline hernes</v>
          </cell>
          <cell r="C36">
            <v>50</v>
          </cell>
          <cell r="D36">
            <v>20.399999999999999</v>
          </cell>
          <cell r="E36">
            <v>2.87</v>
          </cell>
          <cell r="F36">
            <v>0.16</v>
          </cell>
          <cell r="G36">
            <v>1</v>
          </cell>
        </row>
        <row r="37">
          <cell r="B37" t="str">
            <v>Salatikaste</v>
          </cell>
          <cell r="C37">
            <v>5</v>
          </cell>
          <cell r="D37">
            <v>35.25</v>
          </cell>
          <cell r="E37">
            <v>0.03</v>
          </cell>
          <cell r="F37">
            <v>2.9</v>
          </cell>
          <cell r="G37">
            <v>0.01</v>
          </cell>
        </row>
        <row r="40">
          <cell r="B40" t="str">
            <v>Rukkileiva- ja sepikutoodete valik (G)</v>
          </cell>
          <cell r="C40">
            <v>50</v>
          </cell>
          <cell r="D40">
            <v>115</v>
          </cell>
          <cell r="E40">
            <v>24.6</v>
          </cell>
          <cell r="F40">
            <v>0.83</v>
          </cell>
          <cell r="G40">
            <v>3.94</v>
          </cell>
        </row>
        <row r="41">
          <cell r="C41">
            <v>100</v>
          </cell>
          <cell r="D41">
            <v>46.4</v>
          </cell>
          <cell r="E41">
            <v>10.199999999999999</v>
          </cell>
          <cell r="F41">
            <v>0</v>
          </cell>
        </row>
        <row r="42">
          <cell r="B42" t="str">
            <v>Kokku:</v>
          </cell>
        </row>
        <row r="45">
          <cell r="B45" t="str">
            <v>Selge köögiviljasupp kalaga</v>
          </cell>
          <cell r="C45">
            <v>125</v>
          </cell>
          <cell r="D45">
            <v>106</v>
          </cell>
          <cell r="E45">
            <v>12.715</v>
          </cell>
          <cell r="F45">
            <v>4.8250000000000002</v>
          </cell>
          <cell r="G45">
            <v>6.75</v>
          </cell>
        </row>
        <row r="46">
          <cell r="B46" t="str">
            <v>Hapukoor (L)</v>
          </cell>
          <cell r="C46">
            <v>10</v>
          </cell>
          <cell r="D46">
            <v>22.2</v>
          </cell>
          <cell r="E46">
            <v>0.38</v>
          </cell>
          <cell r="F46">
            <v>2.15</v>
          </cell>
          <cell r="G46">
            <v>0.33</v>
          </cell>
        </row>
        <row r="47">
          <cell r="B47" t="str">
            <v>Koorene kanasupp kollase karriga (L)</v>
          </cell>
          <cell r="C47">
            <v>125</v>
          </cell>
          <cell r="D47">
            <v>104.87</v>
          </cell>
          <cell r="E47">
            <v>9.3550000000000004</v>
          </cell>
          <cell r="F47">
            <v>5.23</v>
          </cell>
          <cell r="G47">
            <v>7.0149999999999997</v>
          </cell>
        </row>
        <row r="48">
          <cell r="B48" t="str">
            <v>Kreeka jogurt banaani, kakao ja röstitud kaerahelvestega (L, G)</v>
          </cell>
          <cell r="C48">
            <v>160</v>
          </cell>
          <cell r="D48">
            <v>243.2</v>
          </cell>
          <cell r="E48">
            <v>31.52</v>
          </cell>
          <cell r="F48">
            <v>6.94</v>
          </cell>
          <cell r="G48">
            <v>11.63</v>
          </cell>
        </row>
        <row r="50">
          <cell r="B50" t="str">
            <v>Rukkileiva- ja sepikutoodete valik (G)</v>
          </cell>
          <cell r="C50">
            <v>50</v>
          </cell>
          <cell r="D50">
            <v>115</v>
          </cell>
          <cell r="E50">
            <v>24.6</v>
          </cell>
          <cell r="F50">
            <v>0.83</v>
          </cell>
          <cell r="G50">
            <v>3.94</v>
          </cell>
        </row>
        <row r="51">
          <cell r="C51">
            <v>100</v>
          </cell>
          <cell r="D51">
            <v>32.4</v>
          </cell>
          <cell r="E51">
            <v>5.6</v>
          </cell>
          <cell r="F51">
            <v>0.2</v>
          </cell>
          <cell r="G51">
            <v>0.6</v>
          </cell>
        </row>
        <row r="52">
          <cell r="B52" t="str">
            <v>Kokku:</v>
          </cell>
        </row>
        <row r="55">
          <cell r="B55" t="str">
            <v>Pilaff veiselihaga</v>
          </cell>
          <cell r="C55">
            <v>125</v>
          </cell>
          <cell r="D55">
            <v>190</v>
          </cell>
          <cell r="E55">
            <v>24.625</v>
          </cell>
          <cell r="F55">
            <v>5.82</v>
          </cell>
          <cell r="G55">
            <v>8.5749999999999993</v>
          </cell>
        </row>
        <row r="56">
          <cell r="B56" t="str">
            <v>Kana-suvikõrvitsa ahjupasta (G)</v>
          </cell>
          <cell r="C56">
            <v>125</v>
          </cell>
          <cell r="D56">
            <v>171.25</v>
          </cell>
          <cell r="E56">
            <v>22.75</v>
          </cell>
          <cell r="F56">
            <v>3.1375000000000002</v>
          </cell>
          <cell r="G56">
            <v>5.54</v>
          </cell>
        </row>
        <row r="57">
          <cell r="B57" t="str">
            <v>Ürdi-jogurtikaste (L)</v>
          </cell>
          <cell r="C57">
            <v>50</v>
          </cell>
          <cell r="D57">
            <v>40</v>
          </cell>
          <cell r="E57">
            <v>1.79</v>
          </cell>
          <cell r="F57">
            <v>1.79</v>
          </cell>
          <cell r="G57">
            <v>4.17</v>
          </cell>
        </row>
        <row r="58">
          <cell r="B58" t="str">
            <v>Kapsa-kurgisalat tilliga</v>
          </cell>
          <cell r="C58">
            <v>50</v>
          </cell>
          <cell r="D58">
            <v>25.65</v>
          </cell>
          <cell r="E58">
            <v>2.0699999999999998</v>
          </cell>
          <cell r="F58">
            <v>1.6</v>
          </cell>
          <cell r="G58">
            <v>0.44</v>
          </cell>
        </row>
        <row r="59">
          <cell r="B59" t="str">
            <v>Jääsalat, valged oad (keedetud) , kaalikas (röstitud)</v>
          </cell>
          <cell r="C59">
            <v>50</v>
          </cell>
          <cell r="D59">
            <v>39.1</v>
          </cell>
          <cell r="E59">
            <v>5.9</v>
          </cell>
          <cell r="F59">
            <v>9.9500000000000005E-2</v>
          </cell>
          <cell r="G59">
            <v>2.2549999999999999</v>
          </cell>
        </row>
        <row r="60">
          <cell r="B60" t="str">
            <v>Salatikaste</v>
          </cell>
          <cell r="C60">
            <v>5</v>
          </cell>
          <cell r="D60">
            <v>35.25</v>
          </cell>
          <cell r="E60">
            <v>0.03</v>
          </cell>
          <cell r="F60">
            <v>2.9</v>
          </cell>
          <cell r="G60">
            <v>0.01</v>
          </cell>
        </row>
        <row r="61">
          <cell r="B61" t="str">
            <v>Seemnesegu</v>
          </cell>
          <cell r="C61">
            <v>14</v>
          </cell>
          <cell r="D61">
            <v>85.54</v>
          </cell>
          <cell r="E61">
            <v>2.0448</v>
          </cell>
          <cell r="F61">
            <v>3.5</v>
          </cell>
          <cell r="G61">
            <v>2.14</v>
          </cell>
        </row>
        <row r="63">
          <cell r="B63" t="str">
            <v>Rukkileiva- ja sepikutoodete valik (G)</v>
          </cell>
          <cell r="C63">
            <v>50</v>
          </cell>
          <cell r="D63">
            <v>115</v>
          </cell>
          <cell r="E63">
            <v>24.6</v>
          </cell>
          <cell r="F63">
            <v>0.83</v>
          </cell>
          <cell r="G63">
            <v>3.94</v>
          </cell>
        </row>
        <row r="64">
          <cell r="C64">
            <v>100</v>
          </cell>
          <cell r="D64">
            <v>45.7</v>
          </cell>
          <cell r="E64">
            <v>10.01</v>
          </cell>
          <cell r="F64">
            <v>0.3</v>
          </cell>
          <cell r="G64">
            <v>0.5</v>
          </cell>
        </row>
      </sheetData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0"/>
  <sheetViews>
    <sheetView zoomScale="80" zoomScaleNormal="80" workbookViewId="0">
      <selection activeCell="B4" sqref="B4"/>
    </sheetView>
  </sheetViews>
  <sheetFormatPr defaultRowHeight="15.75" x14ac:dyDescent="0.25"/>
  <cols>
    <col min="1" max="1" width="23" style="9" customWidth="1"/>
    <col min="2" max="2" width="58.85546875" style="10" customWidth="1"/>
    <col min="3" max="3" width="14.28515625" style="10" customWidth="1"/>
    <col min="4" max="4" width="18.42578125" style="10" customWidth="1"/>
    <col min="5" max="5" width="15.42578125" style="10" customWidth="1"/>
    <col min="6" max="6" width="11.7109375" style="10" customWidth="1"/>
    <col min="7" max="7" width="11.42578125" style="10" customWidth="1"/>
    <col min="8" max="257" width="9.28515625" style="9"/>
    <col min="258" max="258" width="37.7109375" style="9" customWidth="1"/>
    <col min="259" max="260" width="14.28515625" style="9" customWidth="1"/>
    <col min="261" max="261" width="13.5703125" style="9" customWidth="1"/>
    <col min="262" max="262" width="15.7109375" style="9" customWidth="1"/>
    <col min="263" max="263" width="15.5703125" style="9" customWidth="1"/>
    <col min="264" max="513" width="9.28515625" style="9"/>
    <col min="514" max="514" width="37.7109375" style="9" customWidth="1"/>
    <col min="515" max="516" width="14.28515625" style="9" customWidth="1"/>
    <col min="517" max="517" width="13.5703125" style="9" customWidth="1"/>
    <col min="518" max="518" width="15.7109375" style="9" customWidth="1"/>
    <col min="519" max="519" width="15.5703125" style="9" customWidth="1"/>
    <col min="520" max="769" width="9.28515625" style="9"/>
    <col min="770" max="770" width="37.7109375" style="9" customWidth="1"/>
    <col min="771" max="772" width="14.28515625" style="9" customWidth="1"/>
    <col min="773" max="773" width="13.5703125" style="9" customWidth="1"/>
    <col min="774" max="774" width="15.7109375" style="9" customWidth="1"/>
    <col min="775" max="775" width="15.5703125" style="9" customWidth="1"/>
    <col min="776" max="1025" width="9.28515625" style="9"/>
    <col min="1026" max="1026" width="37.7109375" style="9" customWidth="1"/>
    <col min="1027" max="1028" width="14.28515625" style="9" customWidth="1"/>
    <col min="1029" max="1029" width="13.5703125" style="9" customWidth="1"/>
    <col min="1030" max="1030" width="15.7109375" style="9" customWidth="1"/>
    <col min="1031" max="1031" width="15.5703125" style="9" customWidth="1"/>
    <col min="1032" max="1281" width="9.28515625" style="9"/>
    <col min="1282" max="1282" width="37.7109375" style="9" customWidth="1"/>
    <col min="1283" max="1284" width="14.28515625" style="9" customWidth="1"/>
    <col min="1285" max="1285" width="13.5703125" style="9" customWidth="1"/>
    <col min="1286" max="1286" width="15.7109375" style="9" customWidth="1"/>
    <col min="1287" max="1287" width="15.5703125" style="9" customWidth="1"/>
    <col min="1288" max="1537" width="9.28515625" style="9"/>
    <col min="1538" max="1538" width="37.7109375" style="9" customWidth="1"/>
    <col min="1539" max="1540" width="14.28515625" style="9" customWidth="1"/>
    <col min="1541" max="1541" width="13.5703125" style="9" customWidth="1"/>
    <col min="1542" max="1542" width="15.7109375" style="9" customWidth="1"/>
    <col min="1543" max="1543" width="15.5703125" style="9" customWidth="1"/>
    <col min="1544" max="1793" width="9.28515625" style="9"/>
    <col min="1794" max="1794" width="37.7109375" style="9" customWidth="1"/>
    <col min="1795" max="1796" width="14.28515625" style="9" customWidth="1"/>
    <col min="1797" max="1797" width="13.5703125" style="9" customWidth="1"/>
    <col min="1798" max="1798" width="15.7109375" style="9" customWidth="1"/>
    <col min="1799" max="1799" width="15.5703125" style="9" customWidth="1"/>
    <col min="1800" max="2049" width="9.28515625" style="9"/>
    <col min="2050" max="2050" width="37.7109375" style="9" customWidth="1"/>
    <col min="2051" max="2052" width="14.28515625" style="9" customWidth="1"/>
    <col min="2053" max="2053" width="13.5703125" style="9" customWidth="1"/>
    <col min="2054" max="2054" width="15.7109375" style="9" customWidth="1"/>
    <col min="2055" max="2055" width="15.5703125" style="9" customWidth="1"/>
    <col min="2056" max="2305" width="9.28515625" style="9"/>
    <col min="2306" max="2306" width="37.7109375" style="9" customWidth="1"/>
    <col min="2307" max="2308" width="14.28515625" style="9" customWidth="1"/>
    <col min="2309" max="2309" width="13.5703125" style="9" customWidth="1"/>
    <col min="2310" max="2310" width="15.7109375" style="9" customWidth="1"/>
    <col min="2311" max="2311" width="15.5703125" style="9" customWidth="1"/>
    <col min="2312" max="2561" width="9.28515625" style="9"/>
    <col min="2562" max="2562" width="37.7109375" style="9" customWidth="1"/>
    <col min="2563" max="2564" width="14.28515625" style="9" customWidth="1"/>
    <col min="2565" max="2565" width="13.5703125" style="9" customWidth="1"/>
    <col min="2566" max="2566" width="15.7109375" style="9" customWidth="1"/>
    <col min="2567" max="2567" width="15.5703125" style="9" customWidth="1"/>
    <col min="2568" max="2817" width="9.28515625" style="9"/>
    <col min="2818" max="2818" width="37.7109375" style="9" customWidth="1"/>
    <col min="2819" max="2820" width="14.28515625" style="9" customWidth="1"/>
    <col min="2821" max="2821" width="13.5703125" style="9" customWidth="1"/>
    <col min="2822" max="2822" width="15.7109375" style="9" customWidth="1"/>
    <col min="2823" max="2823" width="15.5703125" style="9" customWidth="1"/>
    <col min="2824" max="3073" width="9.28515625" style="9"/>
    <col min="3074" max="3074" width="37.7109375" style="9" customWidth="1"/>
    <col min="3075" max="3076" width="14.28515625" style="9" customWidth="1"/>
    <col min="3077" max="3077" width="13.5703125" style="9" customWidth="1"/>
    <col min="3078" max="3078" width="15.7109375" style="9" customWidth="1"/>
    <col min="3079" max="3079" width="15.5703125" style="9" customWidth="1"/>
    <col min="3080" max="3329" width="9.28515625" style="9"/>
    <col min="3330" max="3330" width="37.7109375" style="9" customWidth="1"/>
    <col min="3331" max="3332" width="14.28515625" style="9" customWidth="1"/>
    <col min="3333" max="3333" width="13.5703125" style="9" customWidth="1"/>
    <col min="3334" max="3334" width="15.7109375" style="9" customWidth="1"/>
    <col min="3335" max="3335" width="15.5703125" style="9" customWidth="1"/>
    <col min="3336" max="3585" width="9.28515625" style="9"/>
    <col min="3586" max="3586" width="37.7109375" style="9" customWidth="1"/>
    <col min="3587" max="3588" width="14.28515625" style="9" customWidth="1"/>
    <col min="3589" max="3589" width="13.5703125" style="9" customWidth="1"/>
    <col min="3590" max="3590" width="15.7109375" style="9" customWidth="1"/>
    <col min="3591" max="3591" width="15.5703125" style="9" customWidth="1"/>
    <col min="3592" max="3841" width="9.28515625" style="9"/>
    <col min="3842" max="3842" width="37.7109375" style="9" customWidth="1"/>
    <col min="3843" max="3844" width="14.28515625" style="9" customWidth="1"/>
    <col min="3845" max="3845" width="13.5703125" style="9" customWidth="1"/>
    <col min="3846" max="3846" width="15.7109375" style="9" customWidth="1"/>
    <col min="3847" max="3847" width="15.5703125" style="9" customWidth="1"/>
    <col min="3848" max="4097" width="9.28515625" style="9"/>
    <col min="4098" max="4098" width="37.7109375" style="9" customWidth="1"/>
    <col min="4099" max="4100" width="14.28515625" style="9" customWidth="1"/>
    <col min="4101" max="4101" width="13.5703125" style="9" customWidth="1"/>
    <col min="4102" max="4102" width="15.7109375" style="9" customWidth="1"/>
    <col min="4103" max="4103" width="15.5703125" style="9" customWidth="1"/>
    <col min="4104" max="4353" width="9.28515625" style="9"/>
    <col min="4354" max="4354" width="37.7109375" style="9" customWidth="1"/>
    <col min="4355" max="4356" width="14.28515625" style="9" customWidth="1"/>
    <col min="4357" max="4357" width="13.5703125" style="9" customWidth="1"/>
    <col min="4358" max="4358" width="15.7109375" style="9" customWidth="1"/>
    <col min="4359" max="4359" width="15.5703125" style="9" customWidth="1"/>
    <col min="4360" max="4609" width="9.28515625" style="9"/>
    <col min="4610" max="4610" width="37.7109375" style="9" customWidth="1"/>
    <col min="4611" max="4612" width="14.28515625" style="9" customWidth="1"/>
    <col min="4613" max="4613" width="13.5703125" style="9" customWidth="1"/>
    <col min="4614" max="4614" width="15.7109375" style="9" customWidth="1"/>
    <col min="4615" max="4615" width="15.5703125" style="9" customWidth="1"/>
    <col min="4616" max="4865" width="9.28515625" style="9"/>
    <col min="4866" max="4866" width="37.7109375" style="9" customWidth="1"/>
    <col min="4867" max="4868" width="14.28515625" style="9" customWidth="1"/>
    <col min="4869" max="4869" width="13.5703125" style="9" customWidth="1"/>
    <col min="4870" max="4870" width="15.7109375" style="9" customWidth="1"/>
    <col min="4871" max="4871" width="15.5703125" style="9" customWidth="1"/>
    <col min="4872" max="5121" width="9.28515625" style="9"/>
    <col min="5122" max="5122" width="37.7109375" style="9" customWidth="1"/>
    <col min="5123" max="5124" width="14.28515625" style="9" customWidth="1"/>
    <col min="5125" max="5125" width="13.5703125" style="9" customWidth="1"/>
    <col min="5126" max="5126" width="15.7109375" style="9" customWidth="1"/>
    <col min="5127" max="5127" width="15.5703125" style="9" customWidth="1"/>
    <col min="5128" max="5377" width="9.28515625" style="9"/>
    <col min="5378" max="5378" width="37.7109375" style="9" customWidth="1"/>
    <col min="5379" max="5380" width="14.28515625" style="9" customWidth="1"/>
    <col min="5381" max="5381" width="13.5703125" style="9" customWidth="1"/>
    <col min="5382" max="5382" width="15.7109375" style="9" customWidth="1"/>
    <col min="5383" max="5383" width="15.5703125" style="9" customWidth="1"/>
    <col min="5384" max="5633" width="9.28515625" style="9"/>
    <col min="5634" max="5634" width="37.7109375" style="9" customWidth="1"/>
    <col min="5635" max="5636" width="14.28515625" style="9" customWidth="1"/>
    <col min="5637" max="5637" width="13.5703125" style="9" customWidth="1"/>
    <col min="5638" max="5638" width="15.7109375" style="9" customWidth="1"/>
    <col min="5639" max="5639" width="15.5703125" style="9" customWidth="1"/>
    <col min="5640" max="5889" width="9.28515625" style="9"/>
    <col min="5890" max="5890" width="37.7109375" style="9" customWidth="1"/>
    <col min="5891" max="5892" width="14.28515625" style="9" customWidth="1"/>
    <col min="5893" max="5893" width="13.5703125" style="9" customWidth="1"/>
    <col min="5894" max="5894" width="15.7109375" style="9" customWidth="1"/>
    <col min="5895" max="5895" width="15.5703125" style="9" customWidth="1"/>
    <col min="5896" max="6145" width="9.28515625" style="9"/>
    <col min="6146" max="6146" width="37.7109375" style="9" customWidth="1"/>
    <col min="6147" max="6148" width="14.28515625" style="9" customWidth="1"/>
    <col min="6149" max="6149" width="13.5703125" style="9" customWidth="1"/>
    <col min="6150" max="6150" width="15.7109375" style="9" customWidth="1"/>
    <col min="6151" max="6151" width="15.5703125" style="9" customWidth="1"/>
    <col min="6152" max="6401" width="9.28515625" style="9"/>
    <col min="6402" max="6402" width="37.7109375" style="9" customWidth="1"/>
    <col min="6403" max="6404" width="14.28515625" style="9" customWidth="1"/>
    <col min="6405" max="6405" width="13.5703125" style="9" customWidth="1"/>
    <col min="6406" max="6406" width="15.7109375" style="9" customWidth="1"/>
    <col min="6407" max="6407" width="15.5703125" style="9" customWidth="1"/>
    <col min="6408" max="6657" width="9.28515625" style="9"/>
    <col min="6658" max="6658" width="37.7109375" style="9" customWidth="1"/>
    <col min="6659" max="6660" width="14.28515625" style="9" customWidth="1"/>
    <col min="6661" max="6661" width="13.5703125" style="9" customWidth="1"/>
    <col min="6662" max="6662" width="15.7109375" style="9" customWidth="1"/>
    <col min="6663" max="6663" width="15.5703125" style="9" customWidth="1"/>
    <col min="6664" max="6913" width="9.28515625" style="9"/>
    <col min="6914" max="6914" width="37.7109375" style="9" customWidth="1"/>
    <col min="6915" max="6916" width="14.28515625" style="9" customWidth="1"/>
    <col min="6917" max="6917" width="13.5703125" style="9" customWidth="1"/>
    <col min="6918" max="6918" width="15.7109375" style="9" customWidth="1"/>
    <col min="6919" max="6919" width="15.5703125" style="9" customWidth="1"/>
    <col min="6920" max="7169" width="9.28515625" style="9"/>
    <col min="7170" max="7170" width="37.7109375" style="9" customWidth="1"/>
    <col min="7171" max="7172" width="14.28515625" style="9" customWidth="1"/>
    <col min="7173" max="7173" width="13.5703125" style="9" customWidth="1"/>
    <col min="7174" max="7174" width="15.7109375" style="9" customWidth="1"/>
    <col min="7175" max="7175" width="15.5703125" style="9" customWidth="1"/>
    <col min="7176" max="7425" width="9.28515625" style="9"/>
    <col min="7426" max="7426" width="37.7109375" style="9" customWidth="1"/>
    <col min="7427" max="7428" width="14.28515625" style="9" customWidth="1"/>
    <col min="7429" max="7429" width="13.5703125" style="9" customWidth="1"/>
    <col min="7430" max="7430" width="15.7109375" style="9" customWidth="1"/>
    <col min="7431" max="7431" width="15.5703125" style="9" customWidth="1"/>
    <col min="7432" max="7681" width="9.28515625" style="9"/>
    <col min="7682" max="7682" width="37.7109375" style="9" customWidth="1"/>
    <col min="7683" max="7684" width="14.28515625" style="9" customWidth="1"/>
    <col min="7685" max="7685" width="13.5703125" style="9" customWidth="1"/>
    <col min="7686" max="7686" width="15.7109375" style="9" customWidth="1"/>
    <col min="7687" max="7687" width="15.5703125" style="9" customWidth="1"/>
    <col min="7688" max="7937" width="9.28515625" style="9"/>
    <col min="7938" max="7938" width="37.7109375" style="9" customWidth="1"/>
    <col min="7939" max="7940" width="14.28515625" style="9" customWidth="1"/>
    <col min="7941" max="7941" width="13.5703125" style="9" customWidth="1"/>
    <col min="7942" max="7942" width="15.7109375" style="9" customWidth="1"/>
    <col min="7943" max="7943" width="15.5703125" style="9" customWidth="1"/>
    <col min="7944" max="8193" width="9.28515625" style="9"/>
    <col min="8194" max="8194" width="37.7109375" style="9" customWidth="1"/>
    <col min="8195" max="8196" width="14.28515625" style="9" customWidth="1"/>
    <col min="8197" max="8197" width="13.5703125" style="9" customWidth="1"/>
    <col min="8198" max="8198" width="15.7109375" style="9" customWidth="1"/>
    <col min="8199" max="8199" width="15.5703125" style="9" customWidth="1"/>
    <col min="8200" max="8449" width="9.28515625" style="9"/>
    <col min="8450" max="8450" width="37.7109375" style="9" customWidth="1"/>
    <col min="8451" max="8452" width="14.28515625" style="9" customWidth="1"/>
    <col min="8453" max="8453" width="13.5703125" style="9" customWidth="1"/>
    <col min="8454" max="8454" width="15.7109375" style="9" customWidth="1"/>
    <col min="8455" max="8455" width="15.5703125" style="9" customWidth="1"/>
    <col min="8456" max="8705" width="9.28515625" style="9"/>
    <col min="8706" max="8706" width="37.7109375" style="9" customWidth="1"/>
    <col min="8707" max="8708" width="14.28515625" style="9" customWidth="1"/>
    <col min="8709" max="8709" width="13.5703125" style="9" customWidth="1"/>
    <col min="8710" max="8710" width="15.7109375" style="9" customWidth="1"/>
    <col min="8711" max="8711" width="15.5703125" style="9" customWidth="1"/>
    <col min="8712" max="8961" width="9.28515625" style="9"/>
    <col min="8962" max="8962" width="37.7109375" style="9" customWidth="1"/>
    <col min="8963" max="8964" width="14.28515625" style="9" customWidth="1"/>
    <col min="8965" max="8965" width="13.5703125" style="9" customWidth="1"/>
    <col min="8966" max="8966" width="15.7109375" style="9" customWidth="1"/>
    <col min="8967" max="8967" width="15.5703125" style="9" customWidth="1"/>
    <col min="8968" max="9217" width="9.28515625" style="9"/>
    <col min="9218" max="9218" width="37.7109375" style="9" customWidth="1"/>
    <col min="9219" max="9220" width="14.28515625" style="9" customWidth="1"/>
    <col min="9221" max="9221" width="13.5703125" style="9" customWidth="1"/>
    <col min="9222" max="9222" width="15.7109375" style="9" customWidth="1"/>
    <col min="9223" max="9223" width="15.5703125" style="9" customWidth="1"/>
    <col min="9224" max="9473" width="9.28515625" style="9"/>
    <col min="9474" max="9474" width="37.7109375" style="9" customWidth="1"/>
    <col min="9475" max="9476" width="14.28515625" style="9" customWidth="1"/>
    <col min="9477" max="9477" width="13.5703125" style="9" customWidth="1"/>
    <col min="9478" max="9478" width="15.7109375" style="9" customWidth="1"/>
    <col min="9479" max="9479" width="15.5703125" style="9" customWidth="1"/>
    <col min="9480" max="9729" width="9.28515625" style="9"/>
    <col min="9730" max="9730" width="37.7109375" style="9" customWidth="1"/>
    <col min="9731" max="9732" width="14.28515625" style="9" customWidth="1"/>
    <col min="9733" max="9733" width="13.5703125" style="9" customWidth="1"/>
    <col min="9734" max="9734" width="15.7109375" style="9" customWidth="1"/>
    <col min="9735" max="9735" width="15.5703125" style="9" customWidth="1"/>
    <col min="9736" max="9985" width="9.28515625" style="9"/>
    <col min="9986" max="9986" width="37.7109375" style="9" customWidth="1"/>
    <col min="9987" max="9988" width="14.28515625" style="9" customWidth="1"/>
    <col min="9989" max="9989" width="13.5703125" style="9" customWidth="1"/>
    <col min="9990" max="9990" width="15.7109375" style="9" customWidth="1"/>
    <col min="9991" max="9991" width="15.5703125" style="9" customWidth="1"/>
    <col min="9992" max="10241" width="9.28515625" style="9"/>
    <col min="10242" max="10242" width="37.7109375" style="9" customWidth="1"/>
    <col min="10243" max="10244" width="14.28515625" style="9" customWidth="1"/>
    <col min="10245" max="10245" width="13.5703125" style="9" customWidth="1"/>
    <col min="10246" max="10246" width="15.7109375" style="9" customWidth="1"/>
    <col min="10247" max="10247" width="15.5703125" style="9" customWidth="1"/>
    <col min="10248" max="10497" width="9.28515625" style="9"/>
    <col min="10498" max="10498" width="37.7109375" style="9" customWidth="1"/>
    <col min="10499" max="10500" width="14.28515625" style="9" customWidth="1"/>
    <col min="10501" max="10501" width="13.5703125" style="9" customWidth="1"/>
    <col min="10502" max="10502" width="15.7109375" style="9" customWidth="1"/>
    <col min="10503" max="10503" width="15.5703125" style="9" customWidth="1"/>
    <col min="10504" max="10753" width="9.28515625" style="9"/>
    <col min="10754" max="10754" width="37.7109375" style="9" customWidth="1"/>
    <col min="10755" max="10756" width="14.28515625" style="9" customWidth="1"/>
    <col min="10757" max="10757" width="13.5703125" style="9" customWidth="1"/>
    <col min="10758" max="10758" width="15.7109375" style="9" customWidth="1"/>
    <col min="10759" max="10759" width="15.5703125" style="9" customWidth="1"/>
    <col min="10760" max="11009" width="9.28515625" style="9"/>
    <col min="11010" max="11010" width="37.7109375" style="9" customWidth="1"/>
    <col min="11011" max="11012" width="14.28515625" style="9" customWidth="1"/>
    <col min="11013" max="11013" width="13.5703125" style="9" customWidth="1"/>
    <col min="11014" max="11014" width="15.7109375" style="9" customWidth="1"/>
    <col min="11015" max="11015" width="15.5703125" style="9" customWidth="1"/>
    <col min="11016" max="11265" width="9.28515625" style="9"/>
    <col min="11266" max="11266" width="37.7109375" style="9" customWidth="1"/>
    <col min="11267" max="11268" width="14.28515625" style="9" customWidth="1"/>
    <col min="11269" max="11269" width="13.5703125" style="9" customWidth="1"/>
    <col min="11270" max="11270" width="15.7109375" style="9" customWidth="1"/>
    <col min="11271" max="11271" width="15.5703125" style="9" customWidth="1"/>
    <col min="11272" max="11521" width="9.28515625" style="9"/>
    <col min="11522" max="11522" width="37.7109375" style="9" customWidth="1"/>
    <col min="11523" max="11524" width="14.28515625" style="9" customWidth="1"/>
    <col min="11525" max="11525" width="13.5703125" style="9" customWidth="1"/>
    <col min="11526" max="11526" width="15.7109375" style="9" customWidth="1"/>
    <col min="11527" max="11527" width="15.5703125" style="9" customWidth="1"/>
    <col min="11528" max="11777" width="9.28515625" style="9"/>
    <col min="11778" max="11778" width="37.7109375" style="9" customWidth="1"/>
    <col min="11779" max="11780" width="14.28515625" style="9" customWidth="1"/>
    <col min="11781" max="11781" width="13.5703125" style="9" customWidth="1"/>
    <col min="11782" max="11782" width="15.7109375" style="9" customWidth="1"/>
    <col min="11783" max="11783" width="15.5703125" style="9" customWidth="1"/>
    <col min="11784" max="12033" width="9.28515625" style="9"/>
    <col min="12034" max="12034" width="37.7109375" style="9" customWidth="1"/>
    <col min="12035" max="12036" width="14.28515625" style="9" customWidth="1"/>
    <col min="12037" max="12037" width="13.5703125" style="9" customWidth="1"/>
    <col min="12038" max="12038" width="15.7109375" style="9" customWidth="1"/>
    <col min="12039" max="12039" width="15.5703125" style="9" customWidth="1"/>
    <col min="12040" max="12289" width="9.28515625" style="9"/>
    <col min="12290" max="12290" width="37.7109375" style="9" customWidth="1"/>
    <col min="12291" max="12292" width="14.28515625" style="9" customWidth="1"/>
    <col min="12293" max="12293" width="13.5703125" style="9" customWidth="1"/>
    <col min="12294" max="12294" width="15.7109375" style="9" customWidth="1"/>
    <col min="12295" max="12295" width="15.5703125" style="9" customWidth="1"/>
    <col min="12296" max="12545" width="9.28515625" style="9"/>
    <col min="12546" max="12546" width="37.7109375" style="9" customWidth="1"/>
    <col min="12547" max="12548" width="14.28515625" style="9" customWidth="1"/>
    <col min="12549" max="12549" width="13.5703125" style="9" customWidth="1"/>
    <col min="12550" max="12550" width="15.7109375" style="9" customWidth="1"/>
    <col min="12551" max="12551" width="15.5703125" style="9" customWidth="1"/>
    <col min="12552" max="12801" width="9.28515625" style="9"/>
    <col min="12802" max="12802" width="37.7109375" style="9" customWidth="1"/>
    <col min="12803" max="12804" width="14.28515625" style="9" customWidth="1"/>
    <col min="12805" max="12805" width="13.5703125" style="9" customWidth="1"/>
    <col min="12806" max="12806" width="15.7109375" style="9" customWidth="1"/>
    <col min="12807" max="12807" width="15.5703125" style="9" customWidth="1"/>
    <col min="12808" max="13057" width="9.28515625" style="9"/>
    <col min="13058" max="13058" width="37.7109375" style="9" customWidth="1"/>
    <col min="13059" max="13060" width="14.28515625" style="9" customWidth="1"/>
    <col min="13061" max="13061" width="13.5703125" style="9" customWidth="1"/>
    <col min="13062" max="13062" width="15.7109375" style="9" customWidth="1"/>
    <col min="13063" max="13063" width="15.5703125" style="9" customWidth="1"/>
    <col min="13064" max="13313" width="9.28515625" style="9"/>
    <col min="13314" max="13314" width="37.7109375" style="9" customWidth="1"/>
    <col min="13315" max="13316" width="14.28515625" style="9" customWidth="1"/>
    <col min="13317" max="13317" width="13.5703125" style="9" customWidth="1"/>
    <col min="13318" max="13318" width="15.7109375" style="9" customWidth="1"/>
    <col min="13319" max="13319" width="15.5703125" style="9" customWidth="1"/>
    <col min="13320" max="13569" width="9.28515625" style="9"/>
    <col min="13570" max="13570" width="37.7109375" style="9" customWidth="1"/>
    <col min="13571" max="13572" width="14.28515625" style="9" customWidth="1"/>
    <col min="13573" max="13573" width="13.5703125" style="9" customWidth="1"/>
    <col min="13574" max="13574" width="15.7109375" style="9" customWidth="1"/>
    <col min="13575" max="13575" width="15.5703125" style="9" customWidth="1"/>
    <col min="13576" max="13825" width="9.28515625" style="9"/>
    <col min="13826" max="13826" width="37.7109375" style="9" customWidth="1"/>
    <col min="13827" max="13828" width="14.28515625" style="9" customWidth="1"/>
    <col min="13829" max="13829" width="13.5703125" style="9" customWidth="1"/>
    <col min="13830" max="13830" width="15.7109375" style="9" customWidth="1"/>
    <col min="13831" max="13831" width="15.5703125" style="9" customWidth="1"/>
    <col min="13832" max="14081" width="9.28515625" style="9"/>
    <col min="14082" max="14082" width="37.7109375" style="9" customWidth="1"/>
    <col min="14083" max="14084" width="14.28515625" style="9" customWidth="1"/>
    <col min="14085" max="14085" width="13.5703125" style="9" customWidth="1"/>
    <col min="14086" max="14086" width="15.7109375" style="9" customWidth="1"/>
    <col min="14087" max="14087" width="15.5703125" style="9" customWidth="1"/>
    <col min="14088" max="14337" width="9.28515625" style="9"/>
    <col min="14338" max="14338" width="37.7109375" style="9" customWidth="1"/>
    <col min="14339" max="14340" width="14.28515625" style="9" customWidth="1"/>
    <col min="14341" max="14341" width="13.5703125" style="9" customWidth="1"/>
    <col min="14342" max="14342" width="15.7109375" style="9" customWidth="1"/>
    <col min="14343" max="14343" width="15.5703125" style="9" customWidth="1"/>
    <col min="14344" max="14593" width="9.28515625" style="9"/>
    <col min="14594" max="14594" width="37.7109375" style="9" customWidth="1"/>
    <col min="14595" max="14596" width="14.28515625" style="9" customWidth="1"/>
    <col min="14597" max="14597" width="13.5703125" style="9" customWidth="1"/>
    <col min="14598" max="14598" width="15.7109375" style="9" customWidth="1"/>
    <col min="14599" max="14599" width="15.5703125" style="9" customWidth="1"/>
    <col min="14600" max="14849" width="9.28515625" style="9"/>
    <col min="14850" max="14850" width="37.7109375" style="9" customWidth="1"/>
    <col min="14851" max="14852" width="14.28515625" style="9" customWidth="1"/>
    <col min="14853" max="14853" width="13.5703125" style="9" customWidth="1"/>
    <col min="14854" max="14854" width="15.7109375" style="9" customWidth="1"/>
    <col min="14855" max="14855" width="15.5703125" style="9" customWidth="1"/>
    <col min="14856" max="15105" width="9.28515625" style="9"/>
    <col min="15106" max="15106" width="37.7109375" style="9" customWidth="1"/>
    <col min="15107" max="15108" width="14.28515625" style="9" customWidth="1"/>
    <col min="15109" max="15109" width="13.5703125" style="9" customWidth="1"/>
    <col min="15110" max="15110" width="15.7109375" style="9" customWidth="1"/>
    <col min="15111" max="15111" width="15.5703125" style="9" customWidth="1"/>
    <col min="15112" max="15361" width="9.28515625" style="9"/>
    <col min="15362" max="15362" width="37.7109375" style="9" customWidth="1"/>
    <col min="15363" max="15364" width="14.28515625" style="9" customWidth="1"/>
    <col min="15365" max="15365" width="13.5703125" style="9" customWidth="1"/>
    <col min="15366" max="15366" width="15.7109375" style="9" customWidth="1"/>
    <col min="15367" max="15367" width="15.5703125" style="9" customWidth="1"/>
    <col min="15368" max="15617" width="9.28515625" style="9"/>
    <col min="15618" max="15618" width="37.7109375" style="9" customWidth="1"/>
    <col min="15619" max="15620" width="14.28515625" style="9" customWidth="1"/>
    <col min="15621" max="15621" width="13.5703125" style="9" customWidth="1"/>
    <col min="15622" max="15622" width="15.7109375" style="9" customWidth="1"/>
    <col min="15623" max="15623" width="15.5703125" style="9" customWidth="1"/>
    <col min="15624" max="15873" width="9.28515625" style="9"/>
    <col min="15874" max="15874" width="37.7109375" style="9" customWidth="1"/>
    <col min="15875" max="15876" width="14.28515625" style="9" customWidth="1"/>
    <col min="15877" max="15877" width="13.5703125" style="9" customWidth="1"/>
    <col min="15878" max="15878" width="15.7109375" style="9" customWidth="1"/>
    <col min="15879" max="15879" width="15.5703125" style="9" customWidth="1"/>
    <col min="15880" max="16129" width="9.28515625" style="9"/>
    <col min="16130" max="16130" width="37.7109375" style="9" customWidth="1"/>
    <col min="16131" max="16132" width="14.28515625" style="9" customWidth="1"/>
    <col min="16133" max="16133" width="13.5703125" style="9" customWidth="1"/>
    <col min="16134" max="16134" width="15.7109375" style="9" customWidth="1"/>
    <col min="16135" max="16135" width="15.5703125" style="9" customWidth="1"/>
    <col min="16136" max="16384" width="9.28515625" style="9"/>
  </cols>
  <sheetData>
    <row r="1" spans="1:9" ht="27" customHeight="1" x14ac:dyDescent="0.25"/>
    <row r="2" spans="1:9" ht="39" customHeight="1" x14ac:dyDescent="0.35">
      <c r="A2" s="5" t="s">
        <v>0</v>
      </c>
      <c r="B2" s="94"/>
      <c r="C2" s="10" t="s">
        <v>66</v>
      </c>
      <c r="D2" s="11"/>
    </row>
    <row r="3" spans="1:9" ht="24" customHeight="1" x14ac:dyDescent="0.25">
      <c r="A3" s="28" t="s">
        <v>1</v>
      </c>
      <c r="B3" s="29"/>
      <c r="C3" s="30" t="s">
        <v>2</v>
      </c>
      <c r="D3" s="30" t="s">
        <v>3</v>
      </c>
      <c r="E3" s="30" t="s">
        <v>4</v>
      </c>
      <c r="F3" s="30" t="s">
        <v>5</v>
      </c>
      <c r="G3" s="30" t="s">
        <v>6</v>
      </c>
    </row>
    <row r="4" spans="1:9" ht="17.25" customHeight="1" x14ac:dyDescent="0.25">
      <c r="A4" s="31" t="s">
        <v>7</v>
      </c>
      <c r="B4" s="25" t="s">
        <v>176</v>
      </c>
      <c r="C4" s="26">
        <v>50</v>
      </c>
      <c r="D4" s="92">
        <v>99.6</v>
      </c>
      <c r="E4" s="92">
        <v>0.68</v>
      </c>
      <c r="F4" s="92">
        <v>4.26</v>
      </c>
      <c r="G4" s="92">
        <v>14.46</v>
      </c>
    </row>
    <row r="5" spans="1:9" ht="17.25" customHeight="1" x14ac:dyDescent="0.25">
      <c r="A5" s="31"/>
      <c r="B5" s="25" t="s">
        <v>143</v>
      </c>
      <c r="C5" s="26">
        <v>50</v>
      </c>
      <c r="D5" s="92">
        <v>119</v>
      </c>
      <c r="E5" s="92">
        <v>0.2</v>
      </c>
      <c r="F5" s="92">
        <v>7.3</v>
      </c>
      <c r="G5" s="92">
        <v>13.3</v>
      </c>
    </row>
    <row r="6" spans="1:9" ht="17.25" customHeight="1" x14ac:dyDescent="0.25">
      <c r="A6" s="31"/>
      <c r="B6" s="25" t="s">
        <v>142</v>
      </c>
      <c r="C6" s="26">
        <v>50</v>
      </c>
      <c r="D6" s="92">
        <v>38.299999999999997</v>
      </c>
      <c r="E6" s="92">
        <v>9.25</v>
      </c>
      <c r="F6" s="92">
        <v>0.01</v>
      </c>
      <c r="G6" s="92">
        <v>0.25</v>
      </c>
    </row>
    <row r="7" spans="1:9" x14ac:dyDescent="0.25">
      <c r="A7" s="25"/>
      <c r="B7" s="25" t="s">
        <v>93</v>
      </c>
      <c r="C7" s="26">
        <v>50</v>
      </c>
      <c r="D7" s="26">
        <v>89.46</v>
      </c>
      <c r="E7" s="26">
        <v>17.047000000000001</v>
      </c>
      <c r="F7" s="26">
        <v>0.7</v>
      </c>
      <c r="G7" s="26">
        <v>3.3014999999999999</v>
      </c>
    </row>
    <row r="8" spans="1:9" s="12" customFormat="1" x14ac:dyDescent="0.25">
      <c r="A8" s="25"/>
      <c r="B8" s="25" t="s">
        <v>16</v>
      </c>
      <c r="C8" s="26">
        <v>50</v>
      </c>
      <c r="D8" s="26">
        <v>64.61</v>
      </c>
      <c r="E8" s="26">
        <v>14.31</v>
      </c>
      <c r="F8" s="26">
        <v>0.127</v>
      </c>
      <c r="G8" s="26">
        <v>1.4697</v>
      </c>
    </row>
    <row r="9" spans="1:9" s="12" customFormat="1" x14ac:dyDescent="0.25">
      <c r="A9" s="25"/>
      <c r="B9" s="352" t="s">
        <v>168</v>
      </c>
      <c r="C9" s="197">
        <v>70</v>
      </c>
      <c r="D9" s="197">
        <v>84.83</v>
      </c>
      <c r="E9" s="197">
        <v>17.55</v>
      </c>
      <c r="F9" s="197">
        <v>0.51</v>
      </c>
      <c r="G9" s="197">
        <v>2.89</v>
      </c>
    </row>
    <row r="10" spans="1:9" x14ac:dyDescent="0.25">
      <c r="A10" s="25"/>
      <c r="B10" s="25" t="s">
        <v>17</v>
      </c>
      <c r="C10" s="26">
        <v>50</v>
      </c>
      <c r="D10" s="26">
        <v>22.65</v>
      </c>
      <c r="E10" s="26">
        <v>4.32</v>
      </c>
      <c r="F10" s="26">
        <v>0.77</v>
      </c>
      <c r="G10" s="26">
        <v>0.28999999999999998</v>
      </c>
    </row>
    <row r="11" spans="1:9" x14ac:dyDescent="0.25">
      <c r="A11" s="25"/>
      <c r="B11" s="25" t="s">
        <v>18</v>
      </c>
      <c r="C11" s="26">
        <v>50</v>
      </c>
      <c r="D11" s="92">
        <v>32.35</v>
      </c>
      <c r="E11" s="92">
        <v>4.53</v>
      </c>
      <c r="F11" s="92">
        <v>0.94</v>
      </c>
      <c r="G11" s="92">
        <v>0.92</v>
      </c>
    </row>
    <row r="12" spans="1:9" x14ac:dyDescent="0.25">
      <c r="A12" s="25"/>
      <c r="B12" s="25" t="s">
        <v>19</v>
      </c>
      <c r="C12" s="26">
        <v>5</v>
      </c>
      <c r="D12" s="26">
        <v>35.25</v>
      </c>
      <c r="E12" s="26">
        <v>0.03</v>
      </c>
      <c r="F12" s="26">
        <v>3.9</v>
      </c>
      <c r="G12" s="26">
        <v>0.01</v>
      </c>
    </row>
    <row r="13" spans="1:9" x14ac:dyDescent="0.25">
      <c r="A13" s="25"/>
      <c r="B13" s="25" t="s">
        <v>20</v>
      </c>
      <c r="C13" s="26">
        <v>15</v>
      </c>
      <c r="D13" s="26">
        <v>91.65</v>
      </c>
      <c r="E13" s="26">
        <v>2.13</v>
      </c>
      <c r="F13" s="26">
        <v>8.0399999999999991</v>
      </c>
      <c r="G13" s="26">
        <v>3.36</v>
      </c>
    </row>
    <row r="14" spans="1:9" x14ac:dyDescent="0.25">
      <c r="A14" s="25"/>
      <c r="B14" s="25" t="s">
        <v>67</v>
      </c>
      <c r="C14" s="32">
        <v>100</v>
      </c>
      <c r="D14" s="26"/>
      <c r="E14" s="26"/>
      <c r="F14" s="26"/>
      <c r="G14" s="26"/>
    </row>
    <row r="15" spans="1:9" x14ac:dyDescent="0.25">
      <c r="A15" s="25"/>
      <c r="B15" s="25" t="s">
        <v>98</v>
      </c>
      <c r="C15" s="26">
        <v>50</v>
      </c>
      <c r="D15" s="26">
        <v>115</v>
      </c>
      <c r="E15" s="26">
        <v>24.6</v>
      </c>
      <c r="F15" s="26">
        <v>0.83</v>
      </c>
      <c r="G15" s="26">
        <v>3.94</v>
      </c>
      <c r="I15" s="13"/>
    </row>
    <row r="16" spans="1:9" x14ac:dyDescent="0.25">
      <c r="A16" s="25"/>
      <c r="B16" s="33" t="s">
        <v>22</v>
      </c>
      <c r="C16" s="26">
        <v>100</v>
      </c>
      <c r="D16" s="26">
        <v>48.3</v>
      </c>
      <c r="E16" s="26">
        <v>10.9</v>
      </c>
      <c r="F16" s="26">
        <v>0</v>
      </c>
      <c r="G16" s="26">
        <v>0</v>
      </c>
    </row>
    <row r="17" spans="1:7" x14ac:dyDescent="0.25">
      <c r="A17" s="34"/>
      <c r="B17" s="35" t="s">
        <v>8</v>
      </c>
      <c r="C17" s="299"/>
      <c r="D17" s="300">
        <f>SUM(D5:D16)</f>
        <v>741.4</v>
      </c>
      <c r="E17" s="300">
        <f t="shared" ref="E17:G17" si="0">SUM(E5:E16)</f>
        <v>104.86699999999999</v>
      </c>
      <c r="F17" s="300">
        <f t="shared" si="0"/>
        <v>23.126999999999995</v>
      </c>
      <c r="G17" s="300">
        <f t="shared" si="0"/>
        <v>29.731200000000005</v>
      </c>
    </row>
    <row r="18" spans="1:7" x14ac:dyDescent="0.25">
      <c r="A18" s="14" t="s">
        <v>79</v>
      </c>
      <c r="B18" s="10" t="s">
        <v>80</v>
      </c>
      <c r="C18" s="276">
        <v>140</v>
      </c>
      <c r="D18" s="262">
        <v>129.91999999999999</v>
      </c>
      <c r="E18" s="262">
        <v>18.34</v>
      </c>
      <c r="F18" s="262">
        <v>3.8919999999999999</v>
      </c>
      <c r="G18" s="262">
        <v>4.3120000000000003</v>
      </c>
    </row>
    <row r="19" spans="1:7" ht="24" customHeight="1" x14ac:dyDescent="0.25">
      <c r="A19" s="28" t="s">
        <v>9</v>
      </c>
      <c r="B19" s="29"/>
      <c r="C19" s="301" t="s">
        <v>2</v>
      </c>
      <c r="D19" s="347" t="s">
        <v>3</v>
      </c>
      <c r="E19" s="347" t="s">
        <v>4</v>
      </c>
      <c r="F19" s="347" t="s">
        <v>5</v>
      </c>
      <c r="G19" s="347" t="s">
        <v>6</v>
      </c>
    </row>
    <row r="20" spans="1:7" x14ac:dyDescent="0.25">
      <c r="A20" s="31" t="s">
        <v>7</v>
      </c>
      <c r="B20" s="25" t="s">
        <v>94</v>
      </c>
      <c r="C20" s="346">
        <v>125</v>
      </c>
      <c r="D20" s="349">
        <v>90.125</v>
      </c>
      <c r="E20" s="349">
        <v>12.625</v>
      </c>
      <c r="F20" s="349">
        <v>2.99</v>
      </c>
      <c r="G20" s="349">
        <v>1.9450000000000001</v>
      </c>
    </row>
    <row r="21" spans="1:7" x14ac:dyDescent="0.25">
      <c r="A21" s="31"/>
      <c r="B21" s="25" t="s">
        <v>147</v>
      </c>
      <c r="C21" s="346">
        <v>125</v>
      </c>
      <c r="D21" s="349">
        <v>112.5</v>
      </c>
      <c r="E21" s="349">
        <v>15.925000000000001</v>
      </c>
      <c r="F21" s="349">
        <v>5.7</v>
      </c>
      <c r="G21" s="349">
        <v>4.6749999999999998</v>
      </c>
    </row>
    <row r="22" spans="1:7" x14ac:dyDescent="0.25">
      <c r="A22" s="31"/>
      <c r="B22" s="25" t="s">
        <v>95</v>
      </c>
      <c r="C22" s="346">
        <v>10</v>
      </c>
      <c r="D22" s="350">
        <v>22.2</v>
      </c>
      <c r="E22" s="350">
        <v>0.38</v>
      </c>
      <c r="F22" s="350">
        <v>2.15</v>
      </c>
      <c r="G22" s="350">
        <v>0.33</v>
      </c>
    </row>
    <row r="23" spans="1:7" x14ac:dyDescent="0.25">
      <c r="A23" s="25"/>
      <c r="B23" s="36" t="s">
        <v>96</v>
      </c>
      <c r="C23" s="26">
        <v>160</v>
      </c>
      <c r="D23" s="348">
        <v>218.2</v>
      </c>
      <c r="E23" s="348">
        <v>23.9</v>
      </c>
      <c r="F23" s="348">
        <v>8.31</v>
      </c>
      <c r="G23" s="348">
        <v>5.2</v>
      </c>
    </row>
    <row r="24" spans="1:7" x14ac:dyDescent="0.25">
      <c r="A24" s="25"/>
      <c r="B24" s="25" t="s">
        <v>97</v>
      </c>
      <c r="C24" s="32">
        <v>100</v>
      </c>
      <c r="D24" s="26"/>
      <c r="E24" s="26"/>
      <c r="F24" s="26"/>
      <c r="G24" s="26"/>
    </row>
    <row r="25" spans="1:7" x14ac:dyDescent="0.25">
      <c r="A25" s="25"/>
      <c r="B25" s="25" t="s">
        <v>98</v>
      </c>
      <c r="C25" s="26">
        <v>50</v>
      </c>
      <c r="D25" s="26">
        <v>115</v>
      </c>
      <c r="E25" s="26">
        <v>24.6</v>
      </c>
      <c r="F25" s="26">
        <v>0.83</v>
      </c>
      <c r="G25" s="26">
        <v>3.94</v>
      </c>
    </row>
    <row r="26" spans="1:7" x14ac:dyDescent="0.25">
      <c r="A26" s="31"/>
      <c r="B26" s="33" t="s">
        <v>23</v>
      </c>
      <c r="C26" s="26">
        <v>100</v>
      </c>
      <c r="D26" s="26">
        <v>35.6</v>
      </c>
      <c r="E26" s="26">
        <v>6.22</v>
      </c>
      <c r="F26" s="26">
        <v>0.1</v>
      </c>
      <c r="G26" s="26">
        <v>1.1000000000000001</v>
      </c>
    </row>
    <row r="27" spans="1:7" x14ac:dyDescent="0.25">
      <c r="A27" s="34"/>
      <c r="B27" s="35" t="s">
        <v>8</v>
      </c>
      <c r="C27" s="299"/>
      <c r="D27" s="300">
        <f>SUM(D20:D26)</f>
        <v>593.625</v>
      </c>
      <c r="E27" s="300">
        <f t="shared" ref="E27:G27" si="1">SUM(E20:E26)</f>
        <v>83.65</v>
      </c>
      <c r="F27" s="300">
        <f t="shared" si="1"/>
        <v>20.080000000000002</v>
      </c>
      <c r="G27" s="300">
        <f t="shared" si="1"/>
        <v>17.190000000000001</v>
      </c>
    </row>
    <row r="28" spans="1:7" x14ac:dyDescent="0.25">
      <c r="A28" s="14" t="s">
        <v>79</v>
      </c>
      <c r="B28" s="10" t="s">
        <v>81</v>
      </c>
      <c r="C28" s="276">
        <v>250</v>
      </c>
      <c r="D28" s="26">
        <v>175.249</v>
      </c>
      <c r="E28" s="26">
        <v>24.004999999999999</v>
      </c>
      <c r="F28" s="26">
        <v>5.1688000000000001</v>
      </c>
      <c r="G28" s="26">
        <v>5.6942000000000004</v>
      </c>
    </row>
    <row r="29" spans="1:7" ht="24" customHeight="1" x14ac:dyDescent="0.25">
      <c r="A29" s="28" t="s">
        <v>10</v>
      </c>
      <c r="B29" s="29"/>
      <c r="C29" s="301" t="s">
        <v>2</v>
      </c>
      <c r="D29" s="301" t="s">
        <v>3</v>
      </c>
      <c r="E29" s="301" t="s">
        <v>4</v>
      </c>
      <c r="F29" s="301" t="s">
        <v>5</v>
      </c>
      <c r="G29" s="301" t="s">
        <v>6</v>
      </c>
    </row>
    <row r="30" spans="1:7" x14ac:dyDescent="0.25">
      <c r="A30" s="31" t="s">
        <v>7</v>
      </c>
      <c r="B30" s="25" t="s">
        <v>99</v>
      </c>
      <c r="C30" s="26">
        <v>70</v>
      </c>
      <c r="D30" s="92">
        <v>112</v>
      </c>
      <c r="E30" s="92">
        <v>12.53</v>
      </c>
      <c r="F30" s="92">
        <v>7.0049999999999999</v>
      </c>
      <c r="G30" s="92">
        <v>9.1199999999999992</v>
      </c>
    </row>
    <row r="31" spans="1:7" x14ac:dyDescent="0.25">
      <c r="A31" s="31"/>
      <c r="B31" s="25" t="s">
        <v>151</v>
      </c>
      <c r="C31" s="26">
        <v>70</v>
      </c>
      <c r="D31" s="92">
        <v>102.24</v>
      </c>
      <c r="E31" s="92">
        <v>11.9</v>
      </c>
      <c r="F31" s="92">
        <v>6.91</v>
      </c>
      <c r="G31" s="92">
        <v>5.7450000000000001</v>
      </c>
    </row>
    <row r="32" spans="1:7" x14ac:dyDescent="0.25">
      <c r="A32" s="25"/>
      <c r="B32" s="25" t="s">
        <v>100</v>
      </c>
      <c r="C32" s="26">
        <v>50</v>
      </c>
      <c r="D32" s="92">
        <v>44.927999999999997</v>
      </c>
      <c r="E32" s="92">
        <v>7.2065000000000001</v>
      </c>
      <c r="F32" s="92">
        <v>1.1786000000000001</v>
      </c>
      <c r="G32" s="92">
        <v>1.1715</v>
      </c>
    </row>
    <row r="33" spans="1:9" s="12" customFormat="1" x14ac:dyDescent="0.25">
      <c r="A33" s="25"/>
      <c r="B33" s="25" t="s">
        <v>24</v>
      </c>
      <c r="C33" s="26">
        <v>50</v>
      </c>
      <c r="D33" s="92">
        <v>37.488</v>
      </c>
      <c r="E33" s="92">
        <v>8.6620000000000008</v>
      </c>
      <c r="F33" s="92">
        <v>4.9700000000000001E-2</v>
      </c>
      <c r="G33" s="92">
        <v>0.97270000000000001</v>
      </c>
    </row>
    <row r="34" spans="1:9" s="12" customFormat="1" x14ac:dyDescent="0.25">
      <c r="A34" s="25"/>
      <c r="B34" s="25" t="s">
        <v>35</v>
      </c>
      <c r="C34" s="26">
        <v>50</v>
      </c>
      <c r="D34" s="92">
        <v>37.488</v>
      </c>
      <c r="E34" s="92">
        <v>8.6620000000000008</v>
      </c>
      <c r="F34" s="92">
        <v>4.9700000000000001E-2</v>
      </c>
      <c r="G34" s="92">
        <v>0.97270000000000001</v>
      </c>
    </row>
    <row r="35" spans="1:9" x14ac:dyDescent="0.25">
      <c r="A35" s="25"/>
      <c r="B35" s="25" t="s">
        <v>25</v>
      </c>
      <c r="C35" s="26">
        <v>50</v>
      </c>
      <c r="D35" s="92">
        <v>19.850000000000001</v>
      </c>
      <c r="E35" s="92">
        <v>3.38</v>
      </c>
      <c r="F35" s="92">
        <v>0.1</v>
      </c>
      <c r="G35" s="92">
        <v>0.71</v>
      </c>
    </row>
    <row r="36" spans="1:9" x14ac:dyDescent="0.25">
      <c r="A36" s="25"/>
      <c r="B36" s="25" t="s">
        <v>26</v>
      </c>
      <c r="C36" s="26">
        <v>50</v>
      </c>
      <c r="D36" s="92">
        <v>20.399999999999999</v>
      </c>
      <c r="E36" s="92">
        <v>2.87</v>
      </c>
      <c r="F36" s="92">
        <v>0.16</v>
      </c>
      <c r="G36" s="92">
        <v>1</v>
      </c>
    </row>
    <row r="37" spans="1:9" x14ac:dyDescent="0.25">
      <c r="A37" s="25"/>
      <c r="B37" s="25" t="s">
        <v>19</v>
      </c>
      <c r="C37" s="26">
        <v>5</v>
      </c>
      <c r="D37" s="26">
        <v>35.25</v>
      </c>
      <c r="E37" s="26">
        <v>0.03</v>
      </c>
      <c r="F37" s="26">
        <v>3.9</v>
      </c>
      <c r="G37" s="26">
        <v>0.01</v>
      </c>
    </row>
    <row r="38" spans="1:9" x14ac:dyDescent="0.25">
      <c r="A38" s="25"/>
      <c r="B38" s="25" t="s">
        <v>20</v>
      </c>
      <c r="C38" s="26">
        <v>15</v>
      </c>
      <c r="D38" s="26">
        <v>91.65</v>
      </c>
      <c r="E38" s="26">
        <v>2.13</v>
      </c>
      <c r="F38" s="26">
        <v>8.0399999999999991</v>
      </c>
      <c r="G38" s="26">
        <v>3.36</v>
      </c>
    </row>
    <row r="39" spans="1:9" x14ac:dyDescent="0.25">
      <c r="A39" s="25"/>
      <c r="B39" s="25" t="s">
        <v>97</v>
      </c>
      <c r="C39" s="32">
        <v>100</v>
      </c>
      <c r="D39" s="26"/>
      <c r="E39" s="26"/>
      <c r="F39" s="26"/>
      <c r="G39" s="26"/>
    </row>
    <row r="40" spans="1:9" x14ac:dyDescent="0.25">
      <c r="A40" s="25"/>
      <c r="B40" s="25" t="s">
        <v>98</v>
      </c>
      <c r="C40" s="26">
        <v>50</v>
      </c>
      <c r="D40" s="26">
        <v>115</v>
      </c>
      <c r="E40" s="26">
        <v>24.6</v>
      </c>
      <c r="F40" s="26">
        <v>0.83</v>
      </c>
      <c r="G40" s="26">
        <v>3.94</v>
      </c>
    </row>
    <row r="41" spans="1:9" x14ac:dyDescent="0.25">
      <c r="A41" s="24"/>
      <c r="B41" s="25" t="s">
        <v>27</v>
      </c>
      <c r="C41" s="26">
        <v>100</v>
      </c>
      <c r="D41" s="26">
        <v>46.4</v>
      </c>
      <c r="E41" s="26">
        <v>10.199999999999999</v>
      </c>
      <c r="F41" s="26">
        <v>0</v>
      </c>
      <c r="G41" s="26">
        <v>0.3</v>
      </c>
      <c r="H41" s="13"/>
    </row>
    <row r="42" spans="1:9" x14ac:dyDescent="0.25">
      <c r="A42" s="34"/>
      <c r="B42" s="35" t="s">
        <v>8</v>
      </c>
      <c r="C42" s="299"/>
      <c r="D42" s="300">
        <f>D30+D32+D33+D35+D36+D37+D38+D40+D41</f>
        <v>522.96600000000001</v>
      </c>
      <c r="E42" s="300">
        <f>SUM(E30:E41)</f>
        <v>92.170500000000004</v>
      </c>
      <c r="F42" s="300">
        <f t="shared" ref="F42:G42" si="2">SUM(F30:F41)</f>
        <v>28.222999999999995</v>
      </c>
      <c r="G42" s="300">
        <f t="shared" si="2"/>
        <v>27.3019</v>
      </c>
    </row>
    <row r="43" spans="1:9" x14ac:dyDescent="0.25">
      <c r="A43" s="14" t="s">
        <v>79</v>
      </c>
      <c r="B43" s="10" t="s">
        <v>133</v>
      </c>
      <c r="C43" s="276">
        <v>140</v>
      </c>
      <c r="D43" s="262">
        <v>176</v>
      </c>
      <c r="E43" s="262">
        <v>4.5999999999999996</v>
      </c>
      <c r="F43" s="262">
        <v>16.16</v>
      </c>
      <c r="G43" s="262">
        <v>5.75</v>
      </c>
    </row>
    <row r="44" spans="1:9" ht="24" customHeight="1" x14ac:dyDescent="0.25">
      <c r="A44" s="28" t="s">
        <v>11</v>
      </c>
      <c r="B44" s="29"/>
      <c r="C44" s="301" t="s">
        <v>2</v>
      </c>
      <c r="D44" s="301" t="s">
        <v>3</v>
      </c>
      <c r="E44" s="301" t="s">
        <v>4</v>
      </c>
      <c r="F44" s="301" t="s">
        <v>5</v>
      </c>
      <c r="G44" s="301" t="s">
        <v>6</v>
      </c>
      <c r="I44" s="15"/>
    </row>
    <row r="45" spans="1:9" x14ac:dyDescent="0.25">
      <c r="A45" s="31" t="s">
        <v>7</v>
      </c>
      <c r="B45" s="33" t="s">
        <v>77</v>
      </c>
      <c r="C45" s="26">
        <v>125</v>
      </c>
      <c r="D45" s="92">
        <v>106</v>
      </c>
      <c r="E45" s="92">
        <v>12.715</v>
      </c>
      <c r="F45" s="92">
        <v>4.8250000000000002</v>
      </c>
      <c r="G45" s="92">
        <v>6.75</v>
      </c>
    </row>
    <row r="46" spans="1:9" x14ac:dyDescent="0.25">
      <c r="A46" s="31"/>
      <c r="B46" s="33" t="s">
        <v>95</v>
      </c>
      <c r="C46" s="192">
        <v>10</v>
      </c>
      <c r="D46" s="255">
        <v>22.2</v>
      </c>
      <c r="E46" s="255">
        <v>0.38</v>
      </c>
      <c r="F46" s="255">
        <v>2.15</v>
      </c>
      <c r="G46" s="255">
        <v>0.33</v>
      </c>
    </row>
    <row r="47" spans="1:9" x14ac:dyDescent="0.25">
      <c r="A47" s="31"/>
      <c r="B47" s="33" t="s">
        <v>172</v>
      </c>
      <c r="C47" s="13">
        <v>125</v>
      </c>
      <c r="D47" s="351">
        <v>104.87</v>
      </c>
      <c r="E47" s="351">
        <v>9.3550000000000004</v>
      </c>
      <c r="F47" s="351">
        <v>7.2249999999999996</v>
      </c>
      <c r="G47" s="351">
        <v>7.0149999999999997</v>
      </c>
    </row>
    <row r="48" spans="1:9" ht="31.5" x14ac:dyDescent="0.25">
      <c r="A48" s="25"/>
      <c r="B48" s="25" t="s">
        <v>101</v>
      </c>
      <c r="C48" s="26">
        <v>160</v>
      </c>
      <c r="D48" s="348">
        <v>243.2</v>
      </c>
      <c r="E48" s="348">
        <v>31.52</v>
      </c>
      <c r="F48" s="348">
        <v>6.94</v>
      </c>
      <c r="G48" s="348">
        <v>11.63</v>
      </c>
    </row>
    <row r="49" spans="1:15" x14ac:dyDescent="0.25">
      <c r="A49" s="31"/>
      <c r="B49" s="25" t="s">
        <v>97</v>
      </c>
      <c r="C49" s="32">
        <v>100</v>
      </c>
      <c r="D49" s="26"/>
      <c r="E49" s="26"/>
      <c r="F49" s="26"/>
      <c r="G49" s="26"/>
    </row>
    <row r="50" spans="1:15" x14ac:dyDescent="0.25">
      <c r="A50" s="25"/>
      <c r="B50" s="25" t="s">
        <v>98</v>
      </c>
      <c r="C50" s="26">
        <v>50</v>
      </c>
      <c r="D50" s="26">
        <v>115</v>
      </c>
      <c r="E50" s="26">
        <v>24.6</v>
      </c>
      <c r="F50" s="26">
        <v>0.83</v>
      </c>
      <c r="G50" s="26">
        <v>3.94</v>
      </c>
    </row>
    <row r="51" spans="1:15" x14ac:dyDescent="0.25">
      <c r="A51" s="25"/>
      <c r="B51" s="25" t="s">
        <v>29</v>
      </c>
      <c r="C51" s="26">
        <v>100</v>
      </c>
      <c r="D51" s="26">
        <v>32.4</v>
      </c>
      <c r="E51" s="26">
        <v>5.6</v>
      </c>
      <c r="F51" s="26">
        <v>0.2</v>
      </c>
      <c r="G51" s="26">
        <v>0.6</v>
      </c>
    </row>
    <row r="52" spans="1:15" x14ac:dyDescent="0.25">
      <c r="A52" s="37"/>
      <c r="B52" s="35" t="s">
        <v>8</v>
      </c>
      <c r="C52" s="299"/>
      <c r="D52" s="300">
        <f>SUM(D45:D51)</f>
        <v>623.66999999999996</v>
      </c>
      <c r="E52" s="300">
        <f>SUM(E45:E51)</f>
        <v>84.169999999999987</v>
      </c>
      <c r="F52" s="300">
        <f>SUM(F45:F51)</f>
        <v>22.169999999999998</v>
      </c>
      <c r="G52" s="300">
        <f>SUM(G45:G51)</f>
        <v>30.265000000000004</v>
      </c>
      <c r="J52" s="27"/>
      <c r="K52" s="13"/>
      <c r="L52" s="13"/>
      <c r="M52" s="13"/>
      <c r="N52" s="13"/>
      <c r="O52" s="13"/>
    </row>
    <row r="53" spans="1:15" x14ac:dyDescent="0.25">
      <c r="A53" s="14" t="s">
        <v>79</v>
      </c>
      <c r="B53" s="10" t="s">
        <v>82</v>
      </c>
      <c r="C53" s="276">
        <v>250</v>
      </c>
      <c r="D53" s="262">
        <v>257.42</v>
      </c>
      <c r="E53" s="262">
        <v>20.69</v>
      </c>
      <c r="F53" s="262">
        <v>12.07</v>
      </c>
      <c r="G53" s="262">
        <v>8.93</v>
      </c>
    </row>
    <row r="54" spans="1:15" ht="24" customHeight="1" x14ac:dyDescent="0.25">
      <c r="A54" s="28" t="s">
        <v>12</v>
      </c>
      <c r="B54" s="29"/>
      <c r="C54" s="301" t="s">
        <v>2</v>
      </c>
      <c r="D54" s="301" t="s">
        <v>3</v>
      </c>
      <c r="E54" s="301" t="s">
        <v>4</v>
      </c>
      <c r="F54" s="301" t="s">
        <v>5</v>
      </c>
      <c r="G54" s="301" t="s">
        <v>6</v>
      </c>
    </row>
    <row r="55" spans="1:15" ht="16.5" customHeight="1" x14ac:dyDescent="0.25">
      <c r="A55" s="38" t="s">
        <v>7</v>
      </c>
      <c r="B55" s="38" t="s">
        <v>30</v>
      </c>
      <c r="C55" s="39">
        <v>125</v>
      </c>
      <c r="D55" s="86">
        <v>205</v>
      </c>
      <c r="E55" s="86">
        <v>24.625</v>
      </c>
      <c r="F55" s="86">
        <v>7.8150000000000004</v>
      </c>
      <c r="G55" s="86">
        <v>8.5749999999999993</v>
      </c>
    </row>
    <row r="56" spans="1:15" ht="16.5" customHeight="1" x14ac:dyDescent="0.25">
      <c r="A56" s="38"/>
      <c r="B56" s="38" t="s">
        <v>144</v>
      </c>
      <c r="C56" s="39">
        <v>125</v>
      </c>
      <c r="D56" s="86">
        <v>191.25</v>
      </c>
      <c r="E56" s="86">
        <v>32.75</v>
      </c>
      <c r="F56" s="86">
        <v>3.1375000000000002</v>
      </c>
      <c r="G56" s="86">
        <v>5.54</v>
      </c>
    </row>
    <row r="57" spans="1:15" x14ac:dyDescent="0.25">
      <c r="A57" s="25"/>
      <c r="B57" s="25" t="s">
        <v>102</v>
      </c>
      <c r="C57" s="26">
        <v>50</v>
      </c>
      <c r="D57" s="92">
        <v>63</v>
      </c>
      <c r="E57" s="92">
        <v>7.35</v>
      </c>
      <c r="F57" s="92">
        <v>3.18</v>
      </c>
      <c r="G57" s="92">
        <v>1.23</v>
      </c>
    </row>
    <row r="58" spans="1:15" x14ac:dyDescent="0.25">
      <c r="A58" s="25"/>
      <c r="B58" s="38" t="s">
        <v>65</v>
      </c>
      <c r="C58" s="39">
        <v>50</v>
      </c>
      <c r="D58" s="86">
        <v>25.65</v>
      </c>
      <c r="E58" s="86">
        <v>2.0699999999999998</v>
      </c>
      <c r="F58" s="86">
        <v>1.6</v>
      </c>
      <c r="G58" s="86">
        <v>0.44</v>
      </c>
    </row>
    <row r="59" spans="1:15" x14ac:dyDescent="0.25">
      <c r="A59" s="151"/>
      <c r="B59" s="56" t="s">
        <v>123</v>
      </c>
      <c r="C59" s="81">
        <v>50</v>
      </c>
      <c r="D59" s="73">
        <v>39.1</v>
      </c>
      <c r="E59" s="73">
        <v>5.9</v>
      </c>
      <c r="F59" s="73">
        <v>9.9500000000000005E-2</v>
      </c>
      <c r="G59" s="73">
        <v>2.2549999999999999</v>
      </c>
    </row>
    <row r="60" spans="1:15" x14ac:dyDescent="0.25">
      <c r="A60" s="152"/>
      <c r="B60" s="56" t="s">
        <v>19</v>
      </c>
      <c r="C60" s="81">
        <v>5</v>
      </c>
      <c r="D60" s="81">
        <v>35.25</v>
      </c>
      <c r="E60" s="81">
        <v>0.03</v>
      </c>
      <c r="F60" s="81">
        <v>3.9</v>
      </c>
      <c r="G60" s="81">
        <v>0.01</v>
      </c>
    </row>
    <row r="61" spans="1:15" x14ac:dyDescent="0.25">
      <c r="A61" s="25"/>
      <c r="B61" s="25" t="s">
        <v>20</v>
      </c>
      <c r="C61" s="26">
        <v>10</v>
      </c>
      <c r="D61" s="26">
        <v>61.099899999999998</v>
      </c>
      <c r="E61" s="26">
        <v>1.4198999999999999</v>
      </c>
      <c r="F61" s="26">
        <v>5.3598999999999997</v>
      </c>
      <c r="G61" s="26">
        <v>2.2399</v>
      </c>
    </row>
    <row r="62" spans="1:15" x14ac:dyDescent="0.25">
      <c r="A62" s="25"/>
      <c r="B62" s="25" t="s">
        <v>97</v>
      </c>
      <c r="C62" s="32">
        <v>100</v>
      </c>
      <c r="D62" s="26"/>
      <c r="E62" s="26"/>
      <c r="F62" s="26"/>
      <c r="G62" s="26"/>
    </row>
    <row r="63" spans="1:15" x14ac:dyDescent="0.25">
      <c r="A63" s="25"/>
      <c r="B63" s="153" t="s">
        <v>103</v>
      </c>
      <c r="C63" s="81">
        <v>100</v>
      </c>
      <c r="D63" s="73">
        <v>71</v>
      </c>
      <c r="E63" s="73">
        <v>19.2</v>
      </c>
      <c r="F63" s="73">
        <v>1.83</v>
      </c>
      <c r="G63" s="73">
        <v>2.79</v>
      </c>
    </row>
    <row r="64" spans="1:15" x14ac:dyDescent="0.25">
      <c r="A64" s="24"/>
      <c r="B64" s="25" t="s">
        <v>98</v>
      </c>
      <c r="C64" s="26">
        <v>50</v>
      </c>
      <c r="D64" s="26">
        <v>115</v>
      </c>
      <c r="E64" s="26">
        <v>24.6</v>
      </c>
      <c r="F64" s="26">
        <v>0.83</v>
      </c>
      <c r="G64" s="26">
        <v>3.94</v>
      </c>
    </row>
    <row r="65" spans="1:7" x14ac:dyDescent="0.25">
      <c r="A65" s="24"/>
      <c r="B65" s="25" t="s">
        <v>31</v>
      </c>
      <c r="C65" s="26">
        <v>100</v>
      </c>
      <c r="D65" s="39">
        <v>45.7</v>
      </c>
      <c r="E65" s="39">
        <v>10.01</v>
      </c>
      <c r="F65" s="39">
        <v>0.3</v>
      </c>
      <c r="G65" s="39">
        <v>0.5</v>
      </c>
    </row>
    <row r="66" spans="1:7" x14ac:dyDescent="0.25">
      <c r="A66" s="294"/>
      <c r="B66" s="295" t="s">
        <v>8</v>
      </c>
      <c r="C66" s="296"/>
      <c r="D66" s="275">
        <f>SUM(D55:D65)</f>
        <v>852.04990000000009</v>
      </c>
      <c r="E66" s="275">
        <f t="shared" ref="E66:G66" si="3">SUM(E55:E65)</f>
        <v>127.95489999999999</v>
      </c>
      <c r="F66" s="275">
        <f t="shared" si="3"/>
        <v>28.0519</v>
      </c>
      <c r="G66" s="275">
        <f t="shared" si="3"/>
        <v>27.5199</v>
      </c>
    </row>
    <row r="67" spans="1:7" x14ac:dyDescent="0.25">
      <c r="A67" s="297" t="s">
        <v>79</v>
      </c>
      <c r="B67" s="302" t="s">
        <v>83</v>
      </c>
      <c r="C67" s="298">
        <v>250</v>
      </c>
      <c r="D67" s="260">
        <v>338.33</v>
      </c>
      <c r="E67" s="260">
        <v>30.7</v>
      </c>
      <c r="F67" s="260">
        <v>5.6143999999999998</v>
      </c>
      <c r="G67" s="260">
        <v>8.9320000000000004</v>
      </c>
    </row>
    <row r="68" spans="1:7" x14ac:dyDescent="0.25">
      <c r="A68" s="14"/>
      <c r="B68" s="16" t="s">
        <v>13</v>
      </c>
      <c r="C68" s="9"/>
      <c r="D68" s="343">
        <f>AVERAGE(D17,D27,D42,D52,D66)</f>
        <v>666.74217999999996</v>
      </c>
      <c r="E68" s="343">
        <f>AVERAGE(E17,E27,E42,E52,E66)</f>
        <v>98.562479999999994</v>
      </c>
      <c r="F68" s="343">
        <f>AVERAGE(F17,F27,F42,F52,F66)</f>
        <v>24.330379999999998</v>
      </c>
      <c r="G68" s="343">
        <f>AVERAGE(G17,G27,G42,G52,G66)</f>
        <v>26.401600000000002</v>
      </c>
    </row>
    <row r="69" spans="1:7" x14ac:dyDescent="0.25">
      <c r="A69" s="303" t="s">
        <v>84</v>
      </c>
      <c r="B69" s="304"/>
    </row>
    <row r="70" spans="1:7" x14ac:dyDescent="0.25">
      <c r="A70" s="12" t="s">
        <v>14</v>
      </c>
      <c r="C70" s="11" t="s">
        <v>15</v>
      </c>
      <c r="G70" s="9"/>
    </row>
  </sheetData>
  <pageMargins left="0.7" right="0.7" top="0.75" bottom="0.75" header="0.3" footer="0.3"/>
  <pageSetup paperSize="9" scale="6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9514C-7627-4B69-BEC7-D01AAB4A9478}">
  <sheetPr>
    <pageSetUpPr fitToPage="1"/>
  </sheetPr>
  <dimension ref="A1:L70"/>
  <sheetViews>
    <sheetView topLeftCell="A27" zoomScale="80" zoomScaleNormal="80" workbookViewId="0">
      <selection activeCell="O59" sqref="O59:O60"/>
    </sheetView>
  </sheetViews>
  <sheetFormatPr defaultColWidth="9.28515625" defaultRowHeight="15.75" x14ac:dyDescent="0.25"/>
  <cols>
    <col min="1" max="1" width="24" style="41" customWidth="1"/>
    <col min="2" max="2" width="57.28515625" style="41" customWidth="1"/>
    <col min="3" max="3" width="12.28515625" style="41" customWidth="1"/>
    <col min="4" max="4" width="13.42578125" style="41" customWidth="1"/>
    <col min="5" max="5" width="14.7109375" style="41" bestFit="1" customWidth="1"/>
    <col min="6" max="6" width="10.28515625" style="41" bestFit="1" customWidth="1"/>
    <col min="7" max="7" width="10" style="41" bestFit="1" customWidth="1"/>
    <col min="8" max="16384" width="9.28515625" style="41"/>
  </cols>
  <sheetData>
    <row r="1" spans="1:11" ht="38.25" customHeight="1" x14ac:dyDescent="0.25">
      <c r="B1" s="53"/>
    </row>
    <row r="2" spans="1:11" ht="26.25" customHeight="1" x14ac:dyDescent="0.35">
      <c r="A2" s="7" t="str">
        <f>'Teine 41'!A2</f>
        <v>Koolilõuna 09.10-13.10.2023</v>
      </c>
      <c r="B2" s="8"/>
      <c r="C2" s="10" t="s">
        <v>66</v>
      </c>
      <c r="D2" s="11"/>
    </row>
    <row r="3" spans="1:11" s="22" customFormat="1" ht="24" customHeight="1" x14ac:dyDescent="0.25">
      <c r="A3" s="99" t="s">
        <v>1</v>
      </c>
      <c r="B3" s="104"/>
      <c r="C3" s="105" t="s">
        <v>2</v>
      </c>
      <c r="D3" s="105" t="s">
        <v>3</v>
      </c>
      <c r="E3" s="105" t="s">
        <v>4</v>
      </c>
      <c r="F3" s="105" t="s">
        <v>5</v>
      </c>
      <c r="G3" s="105" t="s">
        <v>6</v>
      </c>
    </row>
    <row r="4" spans="1:11" x14ac:dyDescent="0.25">
      <c r="A4" s="106" t="s">
        <v>7</v>
      </c>
      <c r="B4" s="184" t="str">
        <f>'Teine 41'!B4</f>
        <v>Kodune hakklihakaste (L, G)</v>
      </c>
      <c r="C4" s="371">
        <v>75</v>
      </c>
      <c r="D4" s="79">
        <f>(C4/'Teine 41'!C4)*'Teine 41'!D4</f>
        <v>154.49999999999997</v>
      </c>
      <c r="E4" s="79">
        <f>(D4/'Teine 41'!D4)*'Teine 41'!E4</f>
        <v>12.267857142857142</v>
      </c>
      <c r="F4" s="79">
        <f>(E4/'Teine 41'!E4)*'Teine 41'!F4</f>
        <v>7.4678571428571425</v>
      </c>
      <c r="G4" s="79">
        <f>(F4/'Teine 41'!F4)*'Teine 41'!G4</f>
        <v>7.0928571428571425</v>
      </c>
    </row>
    <row r="5" spans="1:11" x14ac:dyDescent="0.25">
      <c r="A5" s="106"/>
      <c r="B5" s="184" t="str">
        <f>'Teine 41'!B5</f>
        <v>Tomatine kanakaste basiilikuga</v>
      </c>
      <c r="C5" s="371">
        <v>75</v>
      </c>
      <c r="D5" s="79">
        <f>(C5/'Teine 41'!C5)*'Teine 41'!D5</f>
        <v>93.064285714285717</v>
      </c>
      <c r="E5" s="79">
        <f>(D5/'Teine 41'!D5)*'Teine 41'!E5</f>
        <v>12.632142857142856</v>
      </c>
      <c r="F5" s="79">
        <f>(E5/'Teine 41'!E5)*'Teine 41'!F5</f>
        <v>2.464285714285714</v>
      </c>
      <c r="G5" s="79">
        <f>(F5/'Teine 41'!F5)*'Teine 41'!G5</f>
        <v>5.6035714285714286</v>
      </c>
    </row>
    <row r="6" spans="1:11" x14ac:dyDescent="0.25">
      <c r="A6" s="106"/>
      <c r="B6" s="184" t="str">
        <f>'Teine 41'!B6</f>
        <v>Täisterapasta/pasta (G)</v>
      </c>
      <c r="C6" s="371">
        <v>100</v>
      </c>
      <c r="D6" s="79">
        <f>(C6/'Teine 41'!C6)*'Teine 41'!D6</f>
        <v>178.92</v>
      </c>
      <c r="E6" s="79">
        <f>(D6/'Teine 41'!D6)*'Teine 41'!E6</f>
        <v>34.1</v>
      </c>
      <c r="F6" s="79">
        <f>(E6/'Teine 41'!E6)*'Teine 41'!F6</f>
        <v>1.4</v>
      </c>
      <c r="G6" s="79">
        <f>(F6/'Teine 41'!F6)*'Teine 41'!G6</f>
        <v>6.6</v>
      </c>
    </row>
    <row r="7" spans="1:11" x14ac:dyDescent="0.25">
      <c r="A7" s="59"/>
      <c r="B7" s="381" t="str">
        <f>'Teine 41'!B7</f>
        <v>Tatar, aurutatud</v>
      </c>
      <c r="C7" s="112">
        <v>100</v>
      </c>
      <c r="D7" s="79">
        <f>(C7/'Teine 41'!C7)*'Teine 41'!D7</f>
        <v>74.975999999999999</v>
      </c>
      <c r="E7" s="79">
        <f>(D7/'Teine 41'!D7)*'Teine 41'!E7</f>
        <v>17.324000000000002</v>
      </c>
      <c r="F7" s="79">
        <f>(E7/'Teine 41'!E7)*'Teine 41'!F7</f>
        <v>9.9400000000000002E-2</v>
      </c>
      <c r="G7" s="79">
        <f>(F7/'Teine 41'!F7)*'Teine 41'!G7</f>
        <v>1.9454</v>
      </c>
    </row>
    <row r="8" spans="1:11" x14ac:dyDescent="0.25">
      <c r="A8" s="59"/>
      <c r="B8" s="184" t="str">
        <f>'Teine 41'!B8</f>
        <v>Riis, aurutatud</v>
      </c>
      <c r="C8" s="79">
        <v>100</v>
      </c>
      <c r="D8" s="79">
        <f>(C8/'Teine 41'!C8)*'Teine 41'!D8</f>
        <v>129.22</v>
      </c>
      <c r="E8" s="79">
        <f>(D8/'Teine 41'!D8)*'Teine 41'!E8</f>
        <v>28.62</v>
      </c>
      <c r="F8" s="79">
        <f>(E8/'Teine 41'!E8)*'Teine 41'!F8</f>
        <v>0.254</v>
      </c>
      <c r="G8" s="79">
        <f>(F8/'Teine 41'!F8)*'Teine 41'!G8</f>
        <v>2.9394</v>
      </c>
    </row>
    <row r="9" spans="1:11" x14ac:dyDescent="0.25">
      <c r="A9" s="59"/>
      <c r="B9" s="184" t="str">
        <f>'Teine 41'!B9</f>
        <v>Kapsa-paprika salat</v>
      </c>
      <c r="C9" s="79">
        <v>50</v>
      </c>
      <c r="D9" s="79">
        <f>(C9/'Teine 41'!C9)*'Teine 41'!D9</f>
        <v>10.95</v>
      </c>
      <c r="E9" s="79">
        <f>(D9/'Teine 41'!D9)*'Teine 41'!E9</f>
        <v>1.405</v>
      </c>
      <c r="F9" s="79">
        <f>(E9/'Teine 41'!E9)*'Teine 41'!F9</f>
        <v>0.13850000000000001</v>
      </c>
      <c r="G9" s="79">
        <f>(F9/'Teine 41'!F9)*'Teine 41'!G9</f>
        <v>0.56999999999999995</v>
      </c>
    </row>
    <row r="10" spans="1:11" x14ac:dyDescent="0.25">
      <c r="A10" s="59"/>
      <c r="B10" s="184" t="str">
        <f>'Teine 41'!B10</f>
        <v>Peet, mais, porgand</v>
      </c>
      <c r="C10" s="79">
        <v>50</v>
      </c>
      <c r="D10" s="79">
        <f>(C10/'Teine 41'!C10)*'Teine 41'!D10</f>
        <v>23.8</v>
      </c>
      <c r="E10" s="79">
        <f>(D10/'Teine 41'!D10)*'Teine 41'!E10</f>
        <v>4.3049999999999997</v>
      </c>
      <c r="F10" s="79">
        <f>(E10/'Teine 41'!E10)*'Teine 41'!F10</f>
        <v>0.158</v>
      </c>
      <c r="G10" s="79">
        <f>(F10/'Teine 41'!F10)*'Teine 41'!G10</f>
        <v>0.66</v>
      </c>
      <c r="H10" s="40"/>
      <c r="I10" s="40"/>
      <c r="J10" s="40"/>
      <c r="K10" s="40"/>
    </row>
    <row r="11" spans="1:11" x14ac:dyDescent="0.25">
      <c r="A11" s="59"/>
      <c r="B11" s="184" t="str">
        <f>'Teine 41'!B11</f>
        <v>Salatikaste</v>
      </c>
      <c r="C11" s="192">
        <v>5</v>
      </c>
      <c r="D11" s="79">
        <f>(C11/'Teine 41'!C11)*'Teine 41'!D11</f>
        <v>35.25</v>
      </c>
      <c r="E11" s="79">
        <f>(D11/'Teine 41'!D11)*'Teine 41'!E11</f>
        <v>0.03</v>
      </c>
      <c r="F11" s="79">
        <f>(E11/'Teine 41'!E11)*'Teine 41'!F11</f>
        <v>3.9</v>
      </c>
      <c r="G11" s="79">
        <f>(F11/'Teine 41'!F11)*'Teine 41'!G11</f>
        <v>0.01</v>
      </c>
      <c r="H11" s="40"/>
      <c r="I11" s="40"/>
      <c r="J11" s="40"/>
      <c r="K11" s="40"/>
    </row>
    <row r="12" spans="1:11" x14ac:dyDescent="0.25">
      <c r="A12" s="59"/>
      <c r="B12" s="184" t="str">
        <f>'Teine 41'!B12</f>
        <v>Seemnesegu</v>
      </c>
      <c r="C12" s="192">
        <v>15</v>
      </c>
      <c r="D12" s="79">
        <f>(C12/'Teine 41'!C12)*'Teine 41'!D12</f>
        <v>91.65</v>
      </c>
      <c r="E12" s="79">
        <f>(D12/'Teine 41'!D12)*'Teine 41'!E12</f>
        <v>2.13</v>
      </c>
      <c r="F12" s="79">
        <f>(E12/'Teine 41'!E12)*'Teine 41'!F12</f>
        <v>8.0399999999999991</v>
      </c>
      <c r="G12" s="79">
        <f>(F12/'Teine 41'!F12)*'Teine 41'!G12</f>
        <v>3.36</v>
      </c>
      <c r="H12" s="40"/>
      <c r="I12" s="40"/>
      <c r="J12" s="40"/>
      <c r="K12" s="40"/>
    </row>
    <row r="13" spans="1:11" x14ac:dyDescent="0.25">
      <c r="A13" s="59"/>
      <c r="B13" s="184" t="str">
        <f>'Teine 41'!B13</f>
        <v>PRIA Piimatooted (piim, keefir) (L)</v>
      </c>
      <c r="C13" s="79">
        <v>100</v>
      </c>
      <c r="D13" s="191"/>
      <c r="E13" s="191"/>
      <c r="F13" s="191"/>
      <c r="G13" s="191"/>
      <c r="H13" s="40"/>
      <c r="I13" s="40"/>
      <c r="J13" s="40"/>
      <c r="K13" s="40"/>
    </row>
    <row r="14" spans="1:11" x14ac:dyDescent="0.25">
      <c r="A14" s="59"/>
      <c r="B14" s="184" t="str">
        <f>'Teine 41'!B14</f>
        <v>Rukkileiva- ja sepikutoodete valik (G)</v>
      </c>
      <c r="C14" s="20">
        <v>60</v>
      </c>
      <c r="D14" s="191">
        <f>(C14/'Teine 41'!C14)*'Teine 41'!D14</f>
        <v>138</v>
      </c>
      <c r="E14" s="191">
        <f>(D14/'Teine 41'!D14)*'Teine 41'!E14</f>
        <v>29.52</v>
      </c>
      <c r="F14" s="191">
        <f>(E14/'Teine 41'!E14)*'Teine 41'!F14</f>
        <v>0.99599999999999989</v>
      </c>
      <c r="G14" s="191">
        <f>(F14/'Teine 41'!F14)*'Teine 41'!G14</f>
        <v>4.7279999999999998</v>
      </c>
    </row>
    <row r="15" spans="1:11" x14ac:dyDescent="0.25">
      <c r="A15" s="59"/>
      <c r="B15" s="184" t="s">
        <v>174</v>
      </c>
      <c r="C15" s="193">
        <v>100</v>
      </c>
      <c r="D15" s="191">
        <f>(C15/'Teine 41'!C15)*'Teine 41'!D15</f>
        <v>48.3</v>
      </c>
      <c r="E15" s="191">
        <f>(D15/'Teine 41'!D15)*'Teine 41'!E15</f>
        <v>10.9</v>
      </c>
      <c r="F15" s="191">
        <f>(E15/'Teine 41'!E15)*'Teine 41'!F15</f>
        <v>0</v>
      </c>
      <c r="G15" s="191">
        <v>0</v>
      </c>
    </row>
    <row r="16" spans="1:11" s="53" customFormat="1" x14ac:dyDescent="0.25">
      <c r="A16" s="65"/>
      <c r="B16" s="196" t="s">
        <v>8</v>
      </c>
      <c r="C16" s="108"/>
      <c r="D16" s="108">
        <f>SUM(D4:D15)</f>
        <v>978.63028571428561</v>
      </c>
      <c r="E16" s="108">
        <f>SUM(E4:E15)</f>
        <v>153.23400000000001</v>
      </c>
      <c r="F16" s="108">
        <f>SUM(F4:F15)</f>
        <v>24.918042857142854</v>
      </c>
      <c r="G16" s="108">
        <f>SUM(G4:G15)</f>
        <v>33.509228571428572</v>
      </c>
    </row>
    <row r="17" spans="1:8" x14ac:dyDescent="0.25">
      <c r="A17" s="14" t="s">
        <v>79</v>
      </c>
      <c r="B17" s="12" t="s">
        <v>124</v>
      </c>
      <c r="C17" s="314">
        <v>150</v>
      </c>
      <c r="D17" s="26">
        <f>1.07*142.2</f>
        <v>152.154</v>
      </c>
      <c r="E17" s="26">
        <f>1.07*10.365</f>
        <v>11.09055</v>
      </c>
      <c r="F17" s="26">
        <f>1.07*4.005</f>
        <v>4.2853500000000002</v>
      </c>
      <c r="G17" s="26">
        <f>1.07*13.365</f>
        <v>14.300550000000001</v>
      </c>
    </row>
    <row r="18" spans="1:8" s="22" customFormat="1" ht="24" customHeight="1" x14ac:dyDescent="0.25">
      <c r="A18" s="99" t="s">
        <v>9</v>
      </c>
      <c r="B18" s="104"/>
      <c r="C18" s="105" t="s">
        <v>2</v>
      </c>
      <c r="D18" s="105" t="s">
        <v>3</v>
      </c>
      <c r="E18" s="105" t="s">
        <v>4</v>
      </c>
      <c r="F18" s="105" t="s">
        <v>5</v>
      </c>
      <c r="G18" s="105" t="s">
        <v>6</v>
      </c>
    </row>
    <row r="19" spans="1:8" x14ac:dyDescent="0.25">
      <c r="A19" s="106" t="s">
        <v>7</v>
      </c>
      <c r="B19" s="109" t="str">
        <f>'Teine 41'!B19</f>
        <v xml:space="preserve">Värskekapsasupp veiselihaga </v>
      </c>
      <c r="C19" s="79">
        <v>150</v>
      </c>
      <c r="D19" s="191">
        <f>C19*'Teine 41'!D19/'Teine 41'!C19</f>
        <v>160.5</v>
      </c>
      <c r="E19" s="191">
        <f>D19*'Teine 41'!E19/'Teine 41'!D19</f>
        <v>13.739999999999998</v>
      </c>
      <c r="F19" s="191">
        <f>E19*'Teine 41'!F19/'Teine 41'!E19</f>
        <v>5.43</v>
      </c>
      <c r="G19" s="191">
        <f>F19*'Teine 41'!G19/'Teine 41'!F19</f>
        <v>6.7499999999999991</v>
      </c>
    </row>
    <row r="20" spans="1:8" x14ac:dyDescent="0.25">
      <c r="A20" s="106"/>
      <c r="B20" s="109" t="str">
        <f>'Teine 41'!B20</f>
        <v>Tomatine kalasupp kikerhernestega</v>
      </c>
      <c r="C20" s="79">
        <v>150</v>
      </c>
      <c r="D20" s="191">
        <f>C20*'Teine 41'!D20/'Teine 41'!C20</f>
        <v>183.642</v>
      </c>
      <c r="E20" s="191">
        <f>D20*'Teine 41'!E20/'Teine 41'!D20</f>
        <v>17.423999999999999</v>
      </c>
      <c r="F20" s="191">
        <f>E20*'Teine 41'!F20/'Teine 41'!E20</f>
        <v>10.254000000000001</v>
      </c>
      <c r="G20" s="191">
        <f>F20*'Teine 41'!G20/'Teine 41'!F20</f>
        <v>7.7160000000000011</v>
      </c>
    </row>
    <row r="21" spans="1:8" x14ac:dyDescent="0.25">
      <c r="A21" s="106"/>
      <c r="B21" s="109" t="str">
        <f>'Teine 41'!B21</f>
        <v>Hapukoor</v>
      </c>
      <c r="C21" s="79">
        <v>10</v>
      </c>
      <c r="D21" s="191">
        <f>C21*'Teine 41'!D21/'Teine 41'!C21</f>
        <v>22.2</v>
      </c>
      <c r="E21" s="191">
        <f>D21*'Teine 41'!E21/'Teine 41'!D21</f>
        <v>0.38</v>
      </c>
      <c r="F21" s="191">
        <f>E21*'Teine 41'!F21/'Teine 41'!E21</f>
        <v>2.15</v>
      </c>
      <c r="G21" s="191">
        <f>F21*'Teine 41'!G21/'Teine 41'!F21</f>
        <v>0.33</v>
      </c>
    </row>
    <row r="22" spans="1:8" x14ac:dyDescent="0.25">
      <c r="A22" s="106"/>
      <c r="B22" s="109" t="str">
        <f>'Teine 41'!B22</f>
        <v>Panna cotta maasikapüreega (L)</v>
      </c>
      <c r="C22" s="79">
        <v>160</v>
      </c>
      <c r="D22" s="191">
        <f>C22*'Teine 41'!D22/'Teine 41'!C22</f>
        <v>196.8</v>
      </c>
      <c r="E22" s="191">
        <f>D22*'Teine 41'!E22/'Teine 41'!D22</f>
        <v>24.6</v>
      </c>
      <c r="F22" s="191">
        <f>E22*'Teine 41'!F22/'Teine 41'!E22</f>
        <v>6.27</v>
      </c>
      <c r="G22" s="191">
        <f>F22*'Teine 41'!G22/'Teine 41'!F22</f>
        <v>5.8079999999999998</v>
      </c>
    </row>
    <row r="23" spans="1:8" x14ac:dyDescent="0.25">
      <c r="A23" s="106"/>
      <c r="B23" s="109" t="str">
        <f>'Teine 41'!B23</f>
        <v>PRIA Piimatooted (piim, keefir) (L)</v>
      </c>
      <c r="C23" s="79">
        <v>100</v>
      </c>
      <c r="D23" s="191"/>
      <c r="E23" s="191"/>
      <c r="F23" s="191"/>
      <c r="G23" s="191"/>
    </row>
    <row r="24" spans="1:8" x14ac:dyDescent="0.25">
      <c r="A24" s="59"/>
      <c r="B24" s="109" t="str">
        <f>'Teine 41'!B24</f>
        <v>Rukkileiva- ja sepikutoodete valik (G)</v>
      </c>
      <c r="C24" s="79">
        <v>60</v>
      </c>
      <c r="D24" s="191">
        <f>C24*'Teine 41'!D24/'Teine 41'!C24</f>
        <v>138</v>
      </c>
      <c r="E24" s="191">
        <f>D24*'Teine 41'!E24/'Teine 41'!D24</f>
        <v>29.520000000000003</v>
      </c>
      <c r="F24" s="191">
        <f>E24*'Teine 41'!F24/'Teine 41'!E24</f>
        <v>0.99599999999999989</v>
      </c>
      <c r="G24" s="191">
        <f>F24*'Teine 41'!G24/'Teine 41'!F24</f>
        <v>4.7279999999999998</v>
      </c>
      <c r="H24" s="40"/>
    </row>
    <row r="25" spans="1:8" x14ac:dyDescent="0.25">
      <c r="A25" s="58"/>
      <c r="B25" s="109" t="s">
        <v>127</v>
      </c>
      <c r="C25" s="79">
        <v>100</v>
      </c>
      <c r="D25" s="191">
        <f>C25*'Teine 41'!D25/'Teine 41'!C25</f>
        <v>32.4</v>
      </c>
      <c r="E25" s="191">
        <f>D25*'Teine 41'!E25/'Teine 41'!D25</f>
        <v>5.6</v>
      </c>
      <c r="F25" s="191">
        <f>E25*'Teine 41'!F25/'Teine 41'!E25</f>
        <v>0.19999999999999998</v>
      </c>
      <c r="G25" s="191">
        <f>F25*'Teine 41'!G25/'Teine 41'!F25</f>
        <v>0.59999999999999987</v>
      </c>
    </row>
    <row r="26" spans="1:8" s="53" customFormat="1" x14ac:dyDescent="0.25">
      <c r="A26" s="65"/>
      <c r="B26" s="196" t="s">
        <v>8</v>
      </c>
      <c r="C26" s="108"/>
      <c r="D26" s="108">
        <f>SUM(D19:D25)</f>
        <v>733.54200000000003</v>
      </c>
      <c r="E26" s="108">
        <f t="shared" ref="E26:F26" si="0">SUM(E19:E25)</f>
        <v>91.263999999999996</v>
      </c>
      <c r="F26" s="108">
        <f t="shared" si="0"/>
        <v>25.299999999999997</v>
      </c>
      <c r="G26" s="108">
        <f>SUM(G19:G25)</f>
        <v>25.932000000000002</v>
      </c>
    </row>
    <row r="27" spans="1:8" x14ac:dyDescent="0.25">
      <c r="A27" s="14" t="s">
        <v>79</v>
      </c>
      <c r="B27" s="12" t="s">
        <v>85</v>
      </c>
      <c r="C27" s="314">
        <v>300</v>
      </c>
      <c r="D27" s="262">
        <f>1.2*200.25</f>
        <v>240.29999999999998</v>
      </c>
      <c r="E27" s="262">
        <f>1.2*27.6</f>
        <v>33.119999999999997</v>
      </c>
      <c r="F27" s="262">
        <f>1.2*4.3</f>
        <v>5.1599999999999993</v>
      </c>
      <c r="G27" s="262">
        <f>1.2*6.675</f>
        <v>8.01</v>
      </c>
    </row>
    <row r="28" spans="1:8" s="22" customFormat="1" ht="24" customHeight="1" x14ac:dyDescent="0.25">
      <c r="A28" s="99" t="s">
        <v>10</v>
      </c>
      <c r="B28" s="241"/>
      <c r="C28" s="242" t="s">
        <v>2</v>
      </c>
      <c r="D28" s="242" t="s">
        <v>3</v>
      </c>
      <c r="E28" s="242" t="s">
        <v>4</v>
      </c>
      <c r="F28" s="242" t="s">
        <v>5</v>
      </c>
      <c r="G28" s="242" t="s">
        <v>6</v>
      </c>
    </row>
    <row r="29" spans="1:8" x14ac:dyDescent="0.25">
      <c r="A29" s="106" t="s">
        <v>7</v>
      </c>
      <c r="B29" s="107" t="str">
        <f>'Teine 41'!B29</f>
        <v>Vahemere ürtidega hautatud kana poolkoib (portsjon)</v>
      </c>
      <c r="C29" s="79">
        <v>50</v>
      </c>
      <c r="D29" s="79">
        <f>(C29/'Teine 41'!C29)*'Teine 41'!D29</f>
        <v>98.571428571428569</v>
      </c>
      <c r="E29" s="79">
        <f>(D29/'Teine 41'!D29)*'Teine 41'!E29</f>
        <v>0.21428571428571427</v>
      </c>
      <c r="F29" s="79">
        <f>(E29/'Teine 41'!E29)*'Teine 41'!F29</f>
        <v>4.2857142857142856</v>
      </c>
      <c r="G29" s="79">
        <f>(F29/'Teine 41'!F29)*'Teine 41'!G29</f>
        <v>14.785714285714285</v>
      </c>
    </row>
    <row r="30" spans="1:8" x14ac:dyDescent="0.25">
      <c r="A30" s="106"/>
      <c r="B30" s="107" t="str">
        <f>'Teine 41'!B30</f>
        <v>Ahjus küpsetatud kalafilee tilli ja sidruniga</v>
      </c>
      <c r="C30" s="79">
        <v>50</v>
      </c>
      <c r="D30" s="79">
        <f>(C30/'Teine 41'!C30)*'Teine 41'!D30</f>
        <v>160</v>
      </c>
      <c r="E30" s="79">
        <f>(D30/'Teine 41'!D30)*'Teine 41'!E30</f>
        <v>5.16</v>
      </c>
      <c r="F30" s="79">
        <f>(E30/'Teine 41'!E30)*'Teine 41'!F30</f>
        <v>4.0999999999999996</v>
      </c>
      <c r="G30" s="79">
        <f>(F30/'Teine 41'!F30)*'Teine 41'!G30</f>
        <v>12.8</v>
      </c>
    </row>
    <row r="31" spans="1:8" x14ac:dyDescent="0.25">
      <c r="A31" s="106"/>
      <c r="B31" s="107" t="str">
        <f>'Teine 41'!B31</f>
        <v>Kartuli-porgandipüree (L)</v>
      </c>
      <c r="C31" s="79">
        <v>100</v>
      </c>
      <c r="D31" s="79">
        <f>(C31/'Teine 41'!C31)*'Teine 41'!D31</f>
        <v>84.6</v>
      </c>
      <c r="E31" s="79">
        <f>(D31/'Teine 41'!D31)*'Teine 41'!E31</f>
        <v>12.6</v>
      </c>
      <c r="F31" s="79">
        <f>(E31/'Teine 41'!E31)*'Teine 41'!F31</f>
        <v>2.71</v>
      </c>
      <c r="G31" s="79">
        <f>(F31/'Teine 41'!F31)*'Teine 41'!G31</f>
        <v>1.85</v>
      </c>
    </row>
    <row r="32" spans="1:8" x14ac:dyDescent="0.25">
      <c r="A32" s="59"/>
      <c r="B32" s="382" t="str">
        <f>'Teine 41'!B32</f>
        <v>Kolme riisi segu, aurutatud</v>
      </c>
      <c r="C32" s="374">
        <v>100</v>
      </c>
      <c r="D32" s="79">
        <f>(C32/'Teine 41'!C32)*'Teine 41'!D32</f>
        <v>74.98</v>
      </c>
      <c r="E32" s="79">
        <f>(D32/'Teine 41'!D32)*'Teine 41'!E32</f>
        <v>17.32</v>
      </c>
      <c r="F32" s="79">
        <f>(E32/'Teine 41'!E32)*'Teine 41'!F32</f>
        <v>0.1</v>
      </c>
      <c r="G32" s="79">
        <f>(F32/'Teine 41'!F32)*'Teine 41'!G32</f>
        <v>1.94</v>
      </c>
    </row>
    <row r="33" spans="1:10" s="22" customFormat="1" x14ac:dyDescent="0.25">
      <c r="A33" s="59"/>
      <c r="B33" s="107" t="str">
        <f>'Teine 41'!B33</f>
        <v>Läätsed, keedetud</v>
      </c>
      <c r="C33" s="193">
        <v>100</v>
      </c>
      <c r="D33" s="79">
        <f>(C33/'Teine 41'!C33)*'Teine 41'!D33</f>
        <v>144</v>
      </c>
      <c r="E33" s="79">
        <f>(D33/'Teine 41'!D33)*'Teine 41'!E33</f>
        <v>22.3</v>
      </c>
      <c r="F33" s="79">
        <f>(E33/'Teine 41'!E33)*'Teine 41'!F33</f>
        <v>0.68</v>
      </c>
      <c r="G33" s="79">
        <f>(F33/'Teine 41'!F33)*'Teine 41'!G33</f>
        <v>10.199999999999999</v>
      </c>
    </row>
    <row r="34" spans="1:10" x14ac:dyDescent="0.25">
      <c r="A34" s="59"/>
      <c r="B34" s="107" t="str">
        <f>'Teine 41'!B34</f>
        <v>Soe valgekaste (L, G)</v>
      </c>
      <c r="C34" s="79">
        <v>50</v>
      </c>
      <c r="D34" s="79">
        <f>(C34/'Teine 41'!C34)*'Teine 41'!D34</f>
        <v>73.77</v>
      </c>
      <c r="E34" s="79">
        <f>(D34/'Teine 41'!D34)*'Teine 41'!E34</f>
        <v>5.59</v>
      </c>
      <c r="F34" s="79">
        <f>(E34/'Teine 41'!E34)*'Teine 41'!F34</f>
        <v>4.76</v>
      </c>
      <c r="G34" s="79">
        <f>(F34/'Teine 41'!F34)*'Teine 41'!G34</f>
        <v>2.21</v>
      </c>
      <c r="H34" s="40"/>
      <c r="I34" s="40"/>
      <c r="J34" s="40"/>
    </row>
    <row r="35" spans="1:10" x14ac:dyDescent="0.25">
      <c r="A35" s="58"/>
      <c r="B35" s="107" t="str">
        <f>'Teine 41'!B35</f>
        <v>Kõrvitsa-porgandisalat</v>
      </c>
      <c r="C35" s="79">
        <v>50</v>
      </c>
      <c r="D35" s="79">
        <f>(C35/'Teine 41'!C35)*'Teine 41'!D35</f>
        <v>13.05</v>
      </c>
      <c r="E35" s="79">
        <f>(D35/'Teine 41'!D35)*'Teine 41'!E35</f>
        <v>2.2000000000000002</v>
      </c>
      <c r="F35" s="79">
        <f>(E35/'Teine 41'!E35)*'Teine 41'!F35</f>
        <v>8.3500000000000005E-2</v>
      </c>
      <c r="G35" s="79">
        <f>(F35/'Teine 41'!F35)*'Teine 41'!G35</f>
        <v>0.3</v>
      </c>
    </row>
    <row r="36" spans="1:10" x14ac:dyDescent="0.25">
      <c r="A36" s="58"/>
      <c r="B36" s="107" t="str">
        <f>'Teine 41'!B36</f>
        <v>Kapsas, kikerherned, punane redis</v>
      </c>
      <c r="C36" s="192">
        <v>50</v>
      </c>
      <c r="D36" s="79">
        <f>(C36/'Teine 41'!C36)*'Teine 41'!D36</f>
        <v>23.45</v>
      </c>
      <c r="E36" s="79">
        <f>(D36/'Teine 41'!D36)*'Teine 41'!E36</f>
        <v>2.81</v>
      </c>
      <c r="F36" s="79">
        <f>(E36/'Teine 41'!E36)*'Teine 41'!F36</f>
        <v>0.36</v>
      </c>
      <c r="G36" s="79">
        <f>(F36/'Teine 41'!F36)*'Teine 41'!G36</f>
        <v>1.23</v>
      </c>
    </row>
    <row r="37" spans="1:10" x14ac:dyDescent="0.25">
      <c r="A37" s="58"/>
      <c r="B37" s="107" t="str">
        <f>'Teine 41'!B37</f>
        <v>Salatikaste</v>
      </c>
      <c r="C37" s="192">
        <v>5</v>
      </c>
      <c r="D37" s="79">
        <f>(C37/'Teine 41'!C37)*'Teine 41'!D37</f>
        <v>35.25</v>
      </c>
      <c r="E37" s="79">
        <f>(D37/'Teine 41'!D37)*'Teine 41'!E37</f>
        <v>0.03</v>
      </c>
      <c r="F37" s="79">
        <f>(E37/'Teine 41'!E37)*'Teine 41'!F37</f>
        <v>3.9</v>
      </c>
      <c r="G37" s="79">
        <f>(F37/'Teine 41'!F37)*'Teine 41'!G37</f>
        <v>0.01</v>
      </c>
    </row>
    <row r="38" spans="1:10" x14ac:dyDescent="0.25">
      <c r="A38" s="106"/>
      <c r="B38" s="107" t="str">
        <f>'Teine 41'!B38</f>
        <v>Seemnesegu</v>
      </c>
      <c r="C38" s="195">
        <v>15</v>
      </c>
      <c r="D38" s="79">
        <f>(C38/'Teine 41'!C38)*'Teine 41'!D38</f>
        <v>91.65</v>
      </c>
      <c r="E38" s="79">
        <f>(D38/'Teine 41'!D38)*'Teine 41'!E38</f>
        <v>2.13</v>
      </c>
      <c r="F38" s="79">
        <f>(E38/'Teine 41'!E38)*'Teine 41'!F38</f>
        <v>8.0399999999999991</v>
      </c>
      <c r="G38" s="79">
        <f>(F38/'Teine 41'!F38)*'Teine 41'!G38</f>
        <v>3.36</v>
      </c>
    </row>
    <row r="39" spans="1:10" x14ac:dyDescent="0.25">
      <c r="A39" s="58"/>
      <c r="B39" s="107" t="str">
        <f>'Teine 41'!B39</f>
        <v>PRIA Piimatooted (piim, keefir) (L)</v>
      </c>
      <c r="C39" s="193">
        <v>100</v>
      </c>
      <c r="D39" s="191"/>
      <c r="E39" s="191"/>
      <c r="F39" s="191"/>
      <c r="G39" s="191"/>
    </row>
    <row r="40" spans="1:10" x14ac:dyDescent="0.25">
      <c r="A40" s="58"/>
      <c r="B40" s="107" t="str">
        <f>'Teine 41'!B40</f>
        <v>Rukkileiva- ja sepikutoodete valik (G)</v>
      </c>
      <c r="C40" s="79">
        <v>60</v>
      </c>
      <c r="D40" s="191">
        <f>(C40/'Teine 41'!C40)*'Teine 41'!D40</f>
        <v>138</v>
      </c>
      <c r="E40" s="191">
        <f>(D40/'Teine 41'!D40)*'Teine 41'!E40</f>
        <v>29.52</v>
      </c>
      <c r="F40" s="191">
        <f>(E40/'Teine 41'!E40)*'Teine 41'!F40</f>
        <v>0.99599999999999989</v>
      </c>
      <c r="G40" s="191">
        <f>(F40/'Teine 41'!F40)*'Teine 41'!G40</f>
        <v>4.7279999999999998</v>
      </c>
    </row>
    <row r="41" spans="1:10" x14ac:dyDescent="0.25">
      <c r="A41" s="58"/>
      <c r="B41" s="107" t="s">
        <v>126</v>
      </c>
      <c r="C41" s="79">
        <v>100</v>
      </c>
      <c r="D41" s="191">
        <f>(C41/'Teine 41'!C41)*'Teine 41'!D41</f>
        <v>46.4</v>
      </c>
      <c r="E41" s="191">
        <f>(D41/'Teine 41'!D41)*'Teine 41'!E41</f>
        <v>10.199999999999999</v>
      </c>
      <c r="F41" s="191">
        <f>(E41/'Teine 41'!E41)*'Teine 41'!F41</f>
        <v>0</v>
      </c>
      <c r="G41" s="191">
        <v>0.3</v>
      </c>
    </row>
    <row r="42" spans="1:10" s="53" customFormat="1" x14ac:dyDescent="0.25">
      <c r="A42" s="65"/>
      <c r="B42" s="196" t="s">
        <v>8</v>
      </c>
      <c r="C42" s="108"/>
      <c r="D42" s="108">
        <f>SUM(D30:D40)</f>
        <v>838.75</v>
      </c>
      <c r="E42" s="108">
        <f t="shared" ref="E42:G42" si="1">SUM(E30:E40)</f>
        <v>99.66</v>
      </c>
      <c r="F42" s="108">
        <f t="shared" si="1"/>
        <v>25.729499999999994</v>
      </c>
      <c r="G42" s="108">
        <f t="shared" si="1"/>
        <v>38.628000000000007</v>
      </c>
    </row>
    <row r="43" spans="1:10" x14ac:dyDescent="0.25">
      <c r="A43" s="14" t="s">
        <v>79</v>
      </c>
      <c r="B43" s="12" t="s">
        <v>86</v>
      </c>
      <c r="C43" s="314">
        <v>150</v>
      </c>
      <c r="D43" s="26">
        <f>1.07*176.5</f>
        <v>188.85500000000002</v>
      </c>
      <c r="E43" s="26">
        <f>1.07*20.8</f>
        <v>22.256000000000004</v>
      </c>
      <c r="F43" s="26">
        <f>1.07*9.65</f>
        <v>10.325500000000002</v>
      </c>
      <c r="G43" s="26">
        <f>1.07*6.825</f>
        <v>7.3027500000000005</v>
      </c>
    </row>
    <row r="44" spans="1:10" s="22" customFormat="1" ht="24" customHeight="1" x14ac:dyDescent="0.25">
      <c r="A44" s="99" t="s">
        <v>11</v>
      </c>
      <c r="B44" s="104"/>
      <c r="C44" s="105" t="s">
        <v>2</v>
      </c>
      <c r="D44" s="105" t="s">
        <v>3</v>
      </c>
      <c r="E44" s="105" t="s">
        <v>4</v>
      </c>
      <c r="F44" s="105" t="s">
        <v>5</v>
      </c>
      <c r="G44" s="105" t="s">
        <v>6</v>
      </c>
    </row>
    <row r="45" spans="1:10" x14ac:dyDescent="0.25">
      <c r="A45" s="106" t="s">
        <v>7</v>
      </c>
      <c r="B45" s="109" t="str">
        <f>'Teine 41'!B45</f>
        <v>Guljašš-supp sealihaga</v>
      </c>
      <c r="C45" s="110">
        <v>150</v>
      </c>
      <c r="D45" s="191">
        <f>C45*'Teine 41'!D45/'Teine 41'!C45</f>
        <v>135</v>
      </c>
      <c r="E45" s="191">
        <f>D45*'Teine 41'!E45/'Teine 41'!D45</f>
        <v>19.11</v>
      </c>
      <c r="F45" s="191">
        <f>E45*'Teine 41'!F45/'Teine 41'!E45</f>
        <v>6.84</v>
      </c>
      <c r="G45" s="191">
        <f>F45*'Teine 41'!G45/'Teine 41'!F45</f>
        <v>5.6099999999999994</v>
      </c>
    </row>
    <row r="46" spans="1:10" x14ac:dyDescent="0.25">
      <c r="A46" s="106"/>
      <c r="B46" s="109" t="str">
        <f>'Teine 41'!B46</f>
        <v>Hapukoor (L)</v>
      </c>
      <c r="C46" s="197">
        <v>10</v>
      </c>
      <c r="D46" s="191">
        <f>C46*'Teine 41'!D46/'Teine 41'!C46</f>
        <v>22.2</v>
      </c>
      <c r="E46" s="191">
        <f>D46*'Teine 41'!E46/'Teine 41'!D46</f>
        <v>0.38</v>
      </c>
      <c r="F46" s="191">
        <f>E46*'Teine 41'!F46/'Teine 41'!E46</f>
        <v>2.15</v>
      </c>
      <c r="G46" s="191">
        <f>F46*'Teine 41'!G46/'Teine 41'!F46</f>
        <v>0.33</v>
      </c>
    </row>
    <row r="47" spans="1:10" x14ac:dyDescent="0.25">
      <c r="A47" s="106"/>
      <c r="B47" s="109" t="str">
        <f>'Teine 41'!B47</f>
        <v>Tähestikusupp kanalihaga (G)</v>
      </c>
      <c r="C47" s="158">
        <v>150</v>
      </c>
      <c r="D47" s="191">
        <f>C47*'Teine 41'!D47/'Teine 41'!C47</f>
        <v>129.6</v>
      </c>
      <c r="E47" s="191">
        <f>D47*'Teine 41'!E47/'Teine 41'!D47</f>
        <v>16.212</v>
      </c>
      <c r="F47" s="191">
        <f>E47*'Teine 41'!F47/'Teine 41'!E47</f>
        <v>7.7760000000000007</v>
      </c>
      <c r="G47" s="191">
        <f>F47*'Teine 41'!G47/'Teine 41'!F47</f>
        <v>2.5200000000000005</v>
      </c>
    </row>
    <row r="48" spans="1:10" x14ac:dyDescent="0.25">
      <c r="A48" s="106"/>
      <c r="B48" s="109" t="str">
        <f>'Teine 41'!B48</f>
        <v>Õuna-astelpaju jogurtidessert (L)</v>
      </c>
      <c r="C48" s="110">
        <v>160</v>
      </c>
      <c r="D48" s="191">
        <f>C48*'Teine 41'!D48/'Teine 41'!C48</f>
        <v>268.2</v>
      </c>
      <c r="E48" s="191">
        <f>D48*'Teine 41'!E48/'Teine 41'!D48</f>
        <v>36.14</v>
      </c>
      <c r="F48" s="191">
        <f>E48*'Teine 41'!F48/'Teine 41'!E48</f>
        <v>8.02</v>
      </c>
      <c r="G48" s="191">
        <f>F48*'Teine 41'!G48/'Teine 41'!F48</f>
        <v>6.1</v>
      </c>
    </row>
    <row r="49" spans="1:12" x14ac:dyDescent="0.25">
      <c r="A49" s="106"/>
      <c r="B49" s="109" t="str">
        <f>'Teine 41'!B49</f>
        <v>PRIA Piimatooted (piim, keefir) (L)</v>
      </c>
      <c r="C49" s="110">
        <v>100</v>
      </c>
      <c r="D49" s="191"/>
      <c r="E49" s="191"/>
      <c r="F49" s="191"/>
      <c r="G49" s="191"/>
    </row>
    <row r="50" spans="1:12" x14ac:dyDescent="0.25">
      <c r="A50" s="106"/>
      <c r="B50" s="109" t="str">
        <f>'Teine 41'!B50</f>
        <v>Rukkileiva- ja sepikutoodete valik (G)</v>
      </c>
      <c r="C50" s="110">
        <v>60</v>
      </c>
      <c r="D50" s="191">
        <f>C50*'Teine 41'!D50/'Teine 41'!C50</f>
        <v>138</v>
      </c>
      <c r="E50" s="191">
        <f>D50*'Teine 41'!E50/'Teine 41'!D50</f>
        <v>29.520000000000003</v>
      </c>
      <c r="F50" s="191">
        <f>E50*'Teine 41'!F50/'Teine 41'!E50</f>
        <v>0.99599999999999989</v>
      </c>
      <c r="G50" s="191">
        <f>F50*'Teine 41'!G50/'Teine 41'!F50</f>
        <v>4.7279999999999998</v>
      </c>
    </row>
    <row r="51" spans="1:12" x14ac:dyDescent="0.25">
      <c r="A51" s="106"/>
      <c r="B51" s="109" t="s">
        <v>129</v>
      </c>
      <c r="C51" s="110">
        <v>100</v>
      </c>
      <c r="D51" s="191">
        <f>C51*'Teine 41'!D51/'Teine 41'!C51</f>
        <v>24.2</v>
      </c>
      <c r="E51" s="191">
        <f>D51*'Teine 41'!E51/'Teine 41'!D51</f>
        <v>4.2</v>
      </c>
      <c r="F51" s="191">
        <f>E51*'Teine 41'!F51/'Teine 41'!E51</f>
        <v>0.2</v>
      </c>
      <c r="G51" s="191">
        <f>F51*'Teine 41'!G51/'Teine 41'!F51</f>
        <v>0.5</v>
      </c>
    </row>
    <row r="52" spans="1:12" s="53" customFormat="1" x14ac:dyDescent="0.25">
      <c r="A52" s="65"/>
      <c r="B52" s="196" t="s">
        <v>8</v>
      </c>
      <c r="C52" s="108"/>
      <c r="D52" s="108">
        <f>SUM(D45:D50)</f>
        <v>693</v>
      </c>
      <c r="E52" s="108">
        <f>SUM(E45:E50)</f>
        <v>101.36199999999999</v>
      </c>
      <c r="F52" s="108">
        <f>SUM(F45:F50)</f>
        <v>25.782</v>
      </c>
      <c r="G52" s="108">
        <f>SUM(G45:G50)</f>
        <v>19.288</v>
      </c>
    </row>
    <row r="53" spans="1:12" x14ac:dyDescent="0.25">
      <c r="A53" s="14" t="s">
        <v>79</v>
      </c>
      <c r="B53" s="12" t="s">
        <v>87</v>
      </c>
      <c r="C53" s="314">
        <v>300</v>
      </c>
      <c r="D53" s="26">
        <f>1.2*275</f>
        <v>330</v>
      </c>
      <c r="E53" s="26">
        <f>1.2*19.8</f>
        <v>23.76</v>
      </c>
      <c r="F53" s="26">
        <f>1.2*14.725</f>
        <v>17.669999999999998</v>
      </c>
      <c r="G53" s="26">
        <f>1.2*11.775</f>
        <v>14.13</v>
      </c>
    </row>
    <row r="54" spans="1:12" s="22" customFormat="1" ht="24" customHeight="1" x14ac:dyDescent="0.25">
      <c r="A54" s="99" t="s">
        <v>12</v>
      </c>
      <c r="B54" s="111"/>
      <c r="C54" s="105" t="s">
        <v>2</v>
      </c>
      <c r="D54" s="105" t="s">
        <v>3</v>
      </c>
      <c r="E54" s="105" t="s">
        <v>4</v>
      </c>
      <c r="F54" s="105" t="s">
        <v>5</v>
      </c>
      <c r="G54" s="105" t="s">
        <v>6</v>
      </c>
    </row>
    <row r="55" spans="1:12" x14ac:dyDescent="0.25">
      <c r="A55" s="106" t="s">
        <v>7</v>
      </c>
      <c r="B55" s="243" t="str">
        <f>'Teine 41'!B55</f>
        <v>Lõhe-kartuliroog porrulaugu ja tilliga</v>
      </c>
      <c r="C55" s="254">
        <v>150</v>
      </c>
      <c r="D55" s="254">
        <f>(C55/'Teine 41'!C55)*'Teine 41'!D55</f>
        <v>178.5</v>
      </c>
      <c r="E55" s="254">
        <f>(D55/'Teine 41'!D55)*'Teine 41'!E55</f>
        <v>28.799999999999997</v>
      </c>
      <c r="F55" s="254">
        <f>(E55/'Teine 41'!E55)*'Teine 41'!F55</f>
        <v>8.58</v>
      </c>
      <c r="G55" s="254">
        <f>(F55/'Teine 41'!F55)*'Teine 41'!G55</f>
        <v>6.5280000000000005</v>
      </c>
    </row>
    <row r="56" spans="1:12" x14ac:dyDescent="0.25">
      <c r="A56" s="106"/>
      <c r="B56" s="243" t="str">
        <f>'Teine 41'!B56</f>
        <v>Tatrahautis šampinjonide ja hakklihaga</v>
      </c>
      <c r="C56" s="79">
        <v>150</v>
      </c>
      <c r="D56" s="254">
        <f>(C56/'Teine 41'!C56)*'Teine 41'!D56</f>
        <v>151.5</v>
      </c>
      <c r="E56" s="254">
        <f>(D56/'Teine 41'!D56)*'Teine 41'!E56</f>
        <v>18</v>
      </c>
      <c r="F56" s="254">
        <f>(E56/'Teine 41'!E56)*'Teine 41'!F56</f>
        <v>4.3920000000000003</v>
      </c>
      <c r="G56" s="254">
        <f>(F56/'Teine 41'!F56)*'Teine 41'!G56</f>
        <v>8.2349999999999994</v>
      </c>
    </row>
    <row r="57" spans="1:12" x14ac:dyDescent="0.25">
      <c r="A57" s="106"/>
      <c r="B57" s="243" t="str">
        <f>'Teine 41'!B57</f>
        <v>Aurutatud brokoli ja lillkapsas</v>
      </c>
      <c r="C57" s="79">
        <v>100</v>
      </c>
      <c r="D57" s="254">
        <f>(C57/'Teine 41'!C57)*'Teine 41'!D57</f>
        <v>38.1</v>
      </c>
      <c r="E57" s="254">
        <f>(D57/'Teine 41'!D57)*'Teine 41'!E57</f>
        <v>4.6399999999999997</v>
      </c>
      <c r="F57" s="254">
        <f>(E57/'Teine 41'!E57)*'Teine 41'!F57</f>
        <v>0.44</v>
      </c>
      <c r="G57" s="254">
        <f>(F57/'Teine 41'!F57)*'Teine 41'!G57</f>
        <v>3.28</v>
      </c>
    </row>
    <row r="58" spans="1:12" x14ac:dyDescent="0.25">
      <c r="A58" s="106"/>
      <c r="B58" s="243" t="str">
        <f>'Teine 41'!B58</f>
        <v>Hapukoore-jogurtikaste sinepiga (L)</v>
      </c>
      <c r="C58" s="79">
        <v>50</v>
      </c>
      <c r="D58" s="254">
        <f>(C58/'Teine 41'!C58)*'Teine 41'!D58</f>
        <v>78</v>
      </c>
      <c r="E58" s="254">
        <f>(D58/'Teine 41'!D58)*'Teine 41'!E58</f>
        <v>5.2</v>
      </c>
      <c r="F58" s="254">
        <f>(E58/'Teine 41'!E58)*'Teine 41'!F58</f>
        <v>5.75</v>
      </c>
      <c r="G58" s="254">
        <f>(F58/'Teine 41'!F58)*'Teine 41'!G58</f>
        <v>1.39</v>
      </c>
    </row>
    <row r="59" spans="1:12" x14ac:dyDescent="0.25">
      <c r="A59" s="58"/>
      <c r="B59" s="243" t="str">
        <f>'Teine 41'!B59</f>
        <v>Hiina kapsa salat tomatiga</v>
      </c>
      <c r="C59" s="112">
        <v>50</v>
      </c>
      <c r="D59" s="254">
        <f>(C59/'Teine 41'!C59)*'Teine 41'!D59</f>
        <v>10.26</v>
      </c>
      <c r="E59" s="254">
        <f>(D59/'Teine 41'!D59)*'Teine 41'!E59</f>
        <v>1.8</v>
      </c>
      <c r="F59" s="254">
        <f>(E59/'Teine 41'!E59)*'Teine 41'!F59</f>
        <v>0.15</v>
      </c>
      <c r="G59" s="254">
        <f>(F59/'Teine 41'!F59)*'Teine 41'!G59</f>
        <v>0.68</v>
      </c>
      <c r="H59" s="40"/>
      <c r="I59" s="40"/>
      <c r="J59" s="40"/>
    </row>
    <row r="60" spans="1:12" x14ac:dyDescent="0.25">
      <c r="A60" s="58"/>
      <c r="B60" s="243" t="str">
        <f>'Teine 41'!B60</f>
        <v>Kaalikas, punane uba, roheline hernes, kodujuust (PRIA) (L)</v>
      </c>
      <c r="C60" s="79">
        <v>50</v>
      </c>
      <c r="D60" s="254">
        <f>(C60/'Teine 41'!C60)*'Teine 41'!D60</f>
        <v>38.450000000000003</v>
      </c>
      <c r="E60" s="254">
        <f>(D60/'Teine 41'!D60)*'Teine 41'!E60</f>
        <v>4.5049999999999999</v>
      </c>
      <c r="F60" s="254">
        <f>(E60/'Teine 41'!E60)*'Teine 41'!F60</f>
        <v>0.56499999999999995</v>
      </c>
      <c r="G60" s="254">
        <f>(F60/'Teine 41'!F60)*'Teine 41'!G60</f>
        <v>3.0350000000000001</v>
      </c>
    </row>
    <row r="61" spans="1:12" x14ac:dyDescent="0.25">
      <c r="A61" s="58"/>
      <c r="B61" s="243" t="str">
        <f>'Teine 41'!B61</f>
        <v>Salatikaste</v>
      </c>
      <c r="C61" s="192">
        <v>5</v>
      </c>
      <c r="D61" s="254">
        <f>(C61/'Teine 41'!C61)*'Teine 41'!D61</f>
        <v>35.25</v>
      </c>
      <c r="E61" s="254">
        <f>(D61/'Teine 41'!D61)*'Teine 41'!E61</f>
        <v>0.03</v>
      </c>
      <c r="F61" s="254">
        <f>(E61/'Teine 41'!E61)*'Teine 41'!F61</f>
        <v>3.9</v>
      </c>
      <c r="G61" s="254">
        <f>(F61/'Teine 41'!F61)*'Teine 41'!G61</f>
        <v>0.01</v>
      </c>
    </row>
    <row r="62" spans="1:12" x14ac:dyDescent="0.25">
      <c r="A62" s="58"/>
      <c r="B62" s="243" t="str">
        <f>'Teine 41'!B62</f>
        <v>Seemnesegu</v>
      </c>
      <c r="C62" s="192">
        <v>5</v>
      </c>
      <c r="D62" s="254">
        <f>(C62/'Teine 41'!C62)*'Teine 41'!D62</f>
        <v>30.549949999999999</v>
      </c>
      <c r="E62" s="254">
        <f>(D62/'Teine 41'!D62)*'Teine 41'!E62</f>
        <v>0.70994999999999997</v>
      </c>
      <c r="F62" s="254">
        <f>(E62/'Teine 41'!E62)*'Teine 41'!F62</f>
        <v>2.6799499999999998</v>
      </c>
      <c r="G62" s="254">
        <f>(F62/'Teine 41'!F62)*'Teine 41'!G62</f>
        <v>1.11995</v>
      </c>
    </row>
    <row r="63" spans="1:12" x14ac:dyDescent="0.25">
      <c r="A63" s="59"/>
      <c r="B63" s="243" t="str">
        <f>'Teine 41'!B63</f>
        <v>PRIA Piimatooted (piim, keefir) (L)</v>
      </c>
      <c r="C63" s="79">
        <v>100</v>
      </c>
      <c r="D63" s="254"/>
      <c r="E63" s="254"/>
      <c r="F63" s="254"/>
      <c r="G63" s="254"/>
      <c r="H63" s="40"/>
      <c r="I63" s="40"/>
      <c r="J63" s="40"/>
      <c r="K63" s="40"/>
      <c r="L63" s="40"/>
    </row>
    <row r="64" spans="1:12" x14ac:dyDescent="0.25">
      <c r="A64" s="59"/>
      <c r="B64" s="243" t="str">
        <f>'Teine 41'!B64</f>
        <v>Rukkileiva- ja sepikutoodete valik (G)</v>
      </c>
      <c r="C64" s="46">
        <v>60</v>
      </c>
      <c r="D64" s="254">
        <f>(C64/'Teine 41'!C64)*'Teine 41'!D64</f>
        <v>138</v>
      </c>
      <c r="E64" s="254">
        <f>(D64/'Teine 41'!D64)*'Teine 41'!E64</f>
        <v>29.52</v>
      </c>
      <c r="F64" s="254">
        <f>(E64/'Teine 41'!E64)*'Teine 41'!F64</f>
        <v>0.99599999999999989</v>
      </c>
      <c r="G64" s="254">
        <f>(F64/'Teine 41'!F64)*'Teine 41'!G64</f>
        <v>4.7279999999999998</v>
      </c>
      <c r="H64" s="40"/>
      <c r="I64" s="40"/>
      <c r="J64" s="40"/>
      <c r="K64" s="40"/>
      <c r="L64" s="40"/>
    </row>
    <row r="65" spans="1:7" x14ac:dyDescent="0.25">
      <c r="A65" s="58"/>
      <c r="B65" s="243" t="s">
        <v>125</v>
      </c>
      <c r="C65" s="195">
        <v>100</v>
      </c>
      <c r="D65" s="254">
        <f>(C65/'Teine 41'!C65)*'Teine 41'!D65</f>
        <v>45.7</v>
      </c>
      <c r="E65" s="254">
        <f>(D65/'Teine 41'!D65)*'Teine 41'!E65</f>
        <v>10.01</v>
      </c>
      <c r="F65" s="254">
        <f>(E65/'Teine 41'!E65)*'Teine 41'!F65</f>
        <v>0.3</v>
      </c>
      <c r="G65" s="254">
        <f>(F65/'Teine 41'!F65)*'Teine 41'!G65</f>
        <v>0.5</v>
      </c>
    </row>
    <row r="66" spans="1:7" s="53" customFormat="1" x14ac:dyDescent="0.25">
      <c r="A66" s="316"/>
      <c r="B66" s="317" t="s">
        <v>8</v>
      </c>
      <c r="C66" s="244"/>
      <c r="D66" s="244">
        <f>SUM(D55:D65)</f>
        <v>744.30994999999996</v>
      </c>
      <c r="E66" s="244">
        <f>SUM(E55:E65)</f>
        <v>103.21495</v>
      </c>
      <c r="F66" s="244">
        <f>SUM(F55:F65)</f>
        <v>27.752949999999998</v>
      </c>
      <c r="G66" s="244">
        <f>SUM(G55:G65)</f>
        <v>29.505949999999999</v>
      </c>
    </row>
    <row r="67" spans="1:7" s="53" customFormat="1" x14ac:dyDescent="0.25">
      <c r="A67" s="87" t="s">
        <v>79</v>
      </c>
      <c r="B67" s="308" t="s">
        <v>140</v>
      </c>
      <c r="C67" s="313">
        <v>350</v>
      </c>
      <c r="D67" s="262">
        <v>313.25</v>
      </c>
      <c r="E67" s="262">
        <v>35</v>
      </c>
      <c r="F67" s="262">
        <v>11.9</v>
      </c>
      <c r="G67" s="262">
        <v>14.175000000000001</v>
      </c>
    </row>
    <row r="68" spans="1:7" x14ac:dyDescent="0.25">
      <c r="A68" s="19"/>
      <c r="B68" s="16" t="s">
        <v>13</v>
      </c>
      <c r="C68" s="19"/>
      <c r="D68" s="325">
        <f>AVERAGE(D16,D26,D42,D52,D66)</f>
        <v>797.64644714285714</v>
      </c>
      <c r="E68" s="325">
        <f t="shared" ref="E68:G68" si="2">AVERAGE(E16,E26,E42,E52,E66)</f>
        <v>109.74699000000001</v>
      </c>
      <c r="F68" s="325">
        <f t="shared" si="2"/>
        <v>25.896498571428573</v>
      </c>
      <c r="G68" s="325">
        <f t="shared" si="2"/>
        <v>29.372635714285718</v>
      </c>
    </row>
    <row r="69" spans="1:7" x14ac:dyDescent="0.25">
      <c r="A69" s="303" t="s">
        <v>84</v>
      </c>
      <c r="B69" s="304"/>
      <c r="C69" s="19"/>
      <c r="D69" s="19"/>
      <c r="E69" s="19"/>
      <c r="F69" s="19"/>
      <c r="G69" s="19"/>
    </row>
    <row r="70" spans="1:7" x14ac:dyDescent="0.25">
      <c r="A70" s="10" t="s">
        <v>60</v>
      </c>
      <c r="B70" s="19"/>
      <c r="C70" s="11" t="s">
        <v>61</v>
      </c>
      <c r="D70" s="10"/>
      <c r="E70" s="10"/>
      <c r="F70" s="10"/>
      <c r="G70" s="9"/>
    </row>
  </sheetData>
  <pageMargins left="0.7" right="0.7" top="0.75" bottom="0.75" header="0.3" footer="0.3"/>
  <pageSetup paperSize="9" scale="6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A868F-E77E-478D-82CF-DA378F476691}">
  <sheetPr>
    <pageSetUpPr fitToPage="1"/>
  </sheetPr>
  <dimension ref="A1:L71"/>
  <sheetViews>
    <sheetView zoomScale="80" zoomScaleNormal="80" workbookViewId="0">
      <selection activeCell="N59" sqref="N58:N59"/>
    </sheetView>
  </sheetViews>
  <sheetFormatPr defaultColWidth="9.28515625" defaultRowHeight="15.75" x14ac:dyDescent="0.25"/>
  <cols>
    <col min="1" max="1" width="23.5703125" style="41" customWidth="1"/>
    <col min="2" max="2" width="52.28515625" style="41" customWidth="1"/>
    <col min="3" max="3" width="12.28515625" style="41" customWidth="1"/>
    <col min="4" max="4" width="15.5703125" style="41" customWidth="1"/>
    <col min="5" max="5" width="14.7109375" style="41" bestFit="1" customWidth="1"/>
    <col min="6" max="6" width="10.28515625" style="41" bestFit="1" customWidth="1"/>
    <col min="7" max="7" width="10" style="41" bestFit="1" customWidth="1"/>
    <col min="8" max="16384" width="9.28515625" style="41"/>
  </cols>
  <sheetData>
    <row r="1" spans="1:7" ht="30" customHeight="1" x14ac:dyDescent="0.25">
      <c r="B1" s="53"/>
    </row>
    <row r="2" spans="1:7" ht="25.5" customHeight="1" x14ac:dyDescent="0.35">
      <c r="A2" s="7" t="str">
        <f>'Teine 42'!A2</f>
        <v>Koolilõuna 16.10-20.10.2023</v>
      </c>
      <c r="B2" s="8"/>
      <c r="C2" s="10" t="s">
        <v>66</v>
      </c>
      <c r="D2" s="11"/>
    </row>
    <row r="3" spans="1:7" s="22" customFormat="1" ht="28.9" customHeight="1" x14ac:dyDescent="0.25">
      <c r="A3" s="61" t="s">
        <v>1</v>
      </c>
      <c r="B3" s="233"/>
      <c r="C3" s="234" t="s">
        <v>2</v>
      </c>
      <c r="D3" s="234" t="s">
        <v>3</v>
      </c>
      <c r="E3" s="234" t="s">
        <v>4</v>
      </c>
      <c r="F3" s="234" t="s">
        <v>5</v>
      </c>
      <c r="G3" s="234" t="s">
        <v>6</v>
      </c>
    </row>
    <row r="4" spans="1:7" x14ac:dyDescent="0.25">
      <c r="A4" s="71" t="s">
        <v>7</v>
      </c>
      <c r="B4" s="71" t="str">
        <f>'Teine 42'!B4</f>
        <v>Kana-karrikaste (L, G)</v>
      </c>
      <c r="C4" s="199">
        <v>75</v>
      </c>
      <c r="D4" s="191">
        <f>(C4/'Teine 42'!C4)*'Teine 42'!D4</f>
        <v>107.24999999999999</v>
      </c>
      <c r="E4" s="191">
        <f>(D4/'Teine 42'!D4)*'Teine 42'!E4</f>
        <v>9.7071428571428573</v>
      </c>
      <c r="F4" s="191">
        <f>(E4/'Teine 42'!E4)*'Teine 42'!F4</f>
        <v>5.3999999999999995</v>
      </c>
      <c r="G4" s="191">
        <f>(F4/'Teine 42'!F4)*'Teine 42'!G4</f>
        <v>9.5892857142857135</v>
      </c>
    </row>
    <row r="5" spans="1:7" ht="16.5" customHeight="1" x14ac:dyDescent="0.25">
      <c r="A5" s="59"/>
      <c r="B5" s="71" t="str">
        <f>'Teine 42'!B5</f>
        <v>Bolognese kaste</v>
      </c>
      <c r="C5" s="72">
        <v>75</v>
      </c>
      <c r="D5" s="191">
        <f>(C5/'Teine 42'!C5)*'Teine 42'!D5</f>
        <v>89.464285714285708</v>
      </c>
      <c r="E5" s="191">
        <f>(D5/'Teine 42'!D5)*'Teine 42'!E5</f>
        <v>4.8642857142857139</v>
      </c>
      <c r="F5" s="191">
        <f>(E5/'Teine 42'!E5)*'Teine 42'!F5</f>
        <v>5.7589285714285712</v>
      </c>
      <c r="G5" s="191">
        <f>(F5/'Teine 42'!F5)*'Teine 42'!G5</f>
        <v>5.2125000000000004</v>
      </c>
    </row>
    <row r="6" spans="1:7" ht="16.5" customHeight="1" x14ac:dyDescent="0.25">
      <c r="A6" s="59"/>
      <c r="B6" s="71" t="str">
        <f>'Teine 42'!B6</f>
        <v>Riis, aurutatud</v>
      </c>
      <c r="C6" s="72">
        <v>100</v>
      </c>
      <c r="D6" s="191">
        <f>(C6/'Teine 42'!C6)*'Teine 42'!D6</f>
        <v>129.22</v>
      </c>
      <c r="E6" s="191">
        <f>(D6/'Teine 42'!D6)*'Teine 42'!E6</f>
        <v>28.62</v>
      </c>
      <c r="F6" s="191">
        <f>(E6/'Teine 42'!E6)*'Teine 42'!F6</f>
        <v>0.254</v>
      </c>
      <c r="G6" s="191">
        <f>(F6/'Teine 42'!F6)*'Teine 42'!G6</f>
        <v>2.9394</v>
      </c>
    </row>
    <row r="7" spans="1:7" ht="16.5" customHeight="1" x14ac:dyDescent="0.25">
      <c r="A7" s="59"/>
      <c r="B7" s="71" t="str">
        <f>'Teine 42'!B7</f>
        <v>Täisterapasta/pasta (G)</v>
      </c>
      <c r="C7" s="72">
        <v>100</v>
      </c>
      <c r="D7" s="191">
        <f>(C7/'Teine 42'!C7)*'Teine 42'!D7</f>
        <v>178.92</v>
      </c>
      <c r="E7" s="191">
        <f>(D7/'Teine 42'!D7)*'Teine 42'!E7</f>
        <v>34.1</v>
      </c>
      <c r="F7" s="191">
        <f>(E7/'Teine 42'!E7)*'Teine 42'!F7</f>
        <v>1.4</v>
      </c>
      <c r="G7" s="191">
        <f>(F7/'Teine 42'!F7)*'Teine 42'!G7</f>
        <v>6.6</v>
      </c>
    </row>
    <row r="8" spans="1:7" x14ac:dyDescent="0.25">
      <c r="A8" s="59"/>
      <c r="B8" s="71" t="str">
        <f>'Teine 42'!B8</f>
        <v>Bulgur, keedetud (G)</v>
      </c>
      <c r="C8" s="72">
        <v>100</v>
      </c>
      <c r="D8" s="191">
        <f>(C8/'Teine 42'!C8)*'Teine 42'!D8</f>
        <v>122</v>
      </c>
      <c r="E8" s="191">
        <f>(D8/'Teine 42'!D8)*'Teine 42'!E8</f>
        <v>23.5</v>
      </c>
      <c r="F8" s="191">
        <f>(E8/'Teine 42'!E8)*'Teine 42'!F8</f>
        <v>0.79100000000000004</v>
      </c>
      <c r="G8" s="191">
        <f>(F8/'Teine 42'!F8)*'Teine 42'!G8</f>
        <v>4.0599999999999996</v>
      </c>
    </row>
    <row r="9" spans="1:7" x14ac:dyDescent="0.25">
      <c r="A9" s="58"/>
      <c r="B9" s="71" t="str">
        <f>'Teine 42'!B9</f>
        <v>Hiina kapsa ja paprika salat</v>
      </c>
      <c r="C9" s="72">
        <v>50</v>
      </c>
      <c r="D9" s="191">
        <f>(C9/'Teine 42'!C9)*'Teine 42'!D9</f>
        <v>9.68</v>
      </c>
      <c r="E9" s="191">
        <f>(D9/'Teine 42'!D9)*'Teine 42'!E9</f>
        <v>2.0099999999999998</v>
      </c>
      <c r="F9" s="191">
        <f>(E9/'Teine 42'!E9)*'Teine 42'!F9</f>
        <v>0.09</v>
      </c>
      <c r="G9" s="191">
        <f>(F9/'Teine 42'!F9)*'Teine 42'!G9</f>
        <v>0.55000000000000004</v>
      </c>
    </row>
    <row r="10" spans="1:7" x14ac:dyDescent="0.25">
      <c r="A10" s="59"/>
      <c r="B10" s="71" t="str">
        <f>'Teine 42'!B10</f>
        <v>Punane kapsas, mais, lillkapsas (aurutatud)</v>
      </c>
      <c r="C10" s="195">
        <v>50</v>
      </c>
      <c r="D10" s="191">
        <f>(C10/'Teine 42'!C10)*'Teine 42'!D10</f>
        <v>42.67</v>
      </c>
      <c r="E10" s="191">
        <f>(D10/'Teine 42'!D10)*'Teine 42'!E10</f>
        <v>9.18</v>
      </c>
      <c r="F10" s="191">
        <f>(E10/'Teine 42'!E10)*'Teine 42'!F10</f>
        <v>0.35</v>
      </c>
      <c r="G10" s="191">
        <f>(F10/'Teine 42'!F10)*'Teine 42'!G10</f>
        <v>2.68</v>
      </c>
    </row>
    <row r="11" spans="1:7" x14ac:dyDescent="0.25">
      <c r="A11" s="59"/>
      <c r="B11" s="71" t="str">
        <f>'Teine 42'!B11</f>
        <v>Salatikaste</v>
      </c>
      <c r="C11" s="192">
        <v>5</v>
      </c>
      <c r="D11" s="191">
        <f>(C11/'Teine 42'!C11)*'Teine 42'!D11</f>
        <v>35.25</v>
      </c>
      <c r="E11" s="191">
        <f>(D11/'Teine 42'!D11)*'Teine 42'!E11</f>
        <v>0.03</v>
      </c>
      <c r="F11" s="191">
        <f>(E11/'Teine 42'!E11)*'Teine 42'!F11</f>
        <v>3.9</v>
      </c>
      <c r="G11" s="191">
        <f>(F11/'Teine 42'!F11)*'Teine 42'!G11</f>
        <v>0.01</v>
      </c>
    </row>
    <row r="12" spans="1:7" x14ac:dyDescent="0.25">
      <c r="A12" s="59"/>
      <c r="B12" s="71" t="str">
        <f>'Teine 42'!B12</f>
        <v>Seemnesegu</v>
      </c>
      <c r="C12" s="192">
        <v>15</v>
      </c>
      <c r="D12" s="191">
        <f>(C12/'Teine 42'!C12)*'Teine 42'!D12</f>
        <v>91.65</v>
      </c>
      <c r="E12" s="191">
        <f>(D12/'Teine 42'!D12)*'Teine 42'!E12</f>
        <v>2.13</v>
      </c>
      <c r="F12" s="191">
        <f>(E12/'Teine 42'!E12)*'Teine 42'!F12</f>
        <v>8.0399999999999991</v>
      </c>
      <c r="G12" s="191">
        <f>(F12/'Teine 42'!F12)*'Teine 42'!G12</f>
        <v>3.36</v>
      </c>
    </row>
    <row r="13" spans="1:7" x14ac:dyDescent="0.25">
      <c r="A13" s="59"/>
      <c r="B13" s="71" t="str">
        <f>'Teine 42'!B13</f>
        <v>PRIA Piimatooted (piim, keefir) (L)</v>
      </c>
      <c r="C13" s="195">
        <v>100</v>
      </c>
      <c r="D13" s="191"/>
      <c r="E13" s="191"/>
      <c r="F13" s="191"/>
      <c r="G13" s="191"/>
    </row>
    <row r="14" spans="1:7" x14ac:dyDescent="0.25">
      <c r="A14" s="59"/>
      <c r="B14" s="71" t="str">
        <f>'Teine 42'!B14</f>
        <v>Rukkileiva- ja sepikutoodete valik (G)</v>
      </c>
      <c r="C14" s="193">
        <v>60</v>
      </c>
      <c r="D14" s="191">
        <f>(C14/'Teine 42'!C14)*'Teine 42'!D14</f>
        <v>138</v>
      </c>
      <c r="E14" s="191">
        <f>(D14/'Teine 42'!D14)*'Teine 42'!E14</f>
        <v>29.52</v>
      </c>
      <c r="F14" s="191">
        <f>(E14/'Teine 42'!E14)*'Teine 42'!F14</f>
        <v>0.99599999999999989</v>
      </c>
      <c r="G14" s="191">
        <f>(F14/'Teine 42'!F14)*'Teine 42'!G14</f>
        <v>4.7279999999999998</v>
      </c>
    </row>
    <row r="15" spans="1:7" x14ac:dyDescent="0.25">
      <c r="A15" s="58"/>
      <c r="B15" s="71" t="s">
        <v>174</v>
      </c>
      <c r="C15" s="72">
        <v>100</v>
      </c>
      <c r="D15" s="191">
        <f>(C15/'Teine 42'!C15)*'Teine 42'!D15</f>
        <v>48.3</v>
      </c>
      <c r="E15" s="191">
        <f>(D15/'Teine 42'!D15)*'Teine 42'!E15</f>
        <v>10.9</v>
      </c>
      <c r="F15" s="191">
        <f>(E15/'Teine 42'!E15)*'Teine 42'!F15</f>
        <v>0</v>
      </c>
      <c r="G15" s="191">
        <v>0.3</v>
      </c>
    </row>
    <row r="16" spans="1:7" s="53" customFormat="1" x14ac:dyDescent="0.25">
      <c r="A16" s="65"/>
      <c r="B16" s="196" t="s">
        <v>8</v>
      </c>
      <c r="C16" s="67"/>
      <c r="D16" s="67">
        <f>SUM(D4:D15)</f>
        <v>992.40428571428549</v>
      </c>
      <c r="E16" s="67">
        <f>SUM(E4:E15)</f>
        <v>154.56142857142859</v>
      </c>
      <c r="F16" s="67">
        <f>SUM(F4:F15)</f>
        <v>26.979928571428569</v>
      </c>
      <c r="G16" s="67">
        <f>SUM(G4:G15)</f>
        <v>40.029185714285717</v>
      </c>
    </row>
    <row r="17" spans="1:7" x14ac:dyDescent="0.25">
      <c r="A17" s="14" t="s">
        <v>79</v>
      </c>
      <c r="B17" s="12" t="s">
        <v>111</v>
      </c>
      <c r="C17" s="314">
        <v>150</v>
      </c>
      <c r="D17" s="262">
        <f>1.07*174.78</f>
        <v>187.0146</v>
      </c>
      <c r="E17" s="262">
        <f>1.07*15.59</f>
        <v>16.6813</v>
      </c>
      <c r="F17" s="262">
        <f>1.07*9.54</f>
        <v>10.207799999999999</v>
      </c>
      <c r="G17" s="262">
        <f>1.07*7.69</f>
        <v>8.2283000000000008</v>
      </c>
    </row>
    <row r="18" spans="1:7" s="22" customFormat="1" ht="28.9" customHeight="1" x14ac:dyDescent="0.25">
      <c r="A18" s="61" t="s">
        <v>9</v>
      </c>
      <c r="B18" s="233"/>
      <c r="C18" s="234" t="s">
        <v>2</v>
      </c>
      <c r="D18" s="234" t="s">
        <v>3</v>
      </c>
      <c r="E18" s="234" t="s">
        <v>4</v>
      </c>
      <c r="F18" s="234" t="s">
        <v>5</v>
      </c>
      <c r="G18" s="234" t="s">
        <v>6</v>
      </c>
    </row>
    <row r="19" spans="1:7" x14ac:dyDescent="0.25">
      <c r="A19" s="71" t="s">
        <v>7</v>
      </c>
      <c r="B19" s="82" t="str">
        <f>'Teine 42'!B19</f>
        <v>Veisehakkliha-pastasupp (G)</v>
      </c>
      <c r="C19" s="72">
        <v>150</v>
      </c>
      <c r="D19" s="191">
        <f>C19*'Teine 42'!D19/'Teine 42'!C19</f>
        <v>169.5</v>
      </c>
      <c r="E19" s="191">
        <f>D19*'Teine 42'!E19/'Teine 42'!D19</f>
        <v>18.899999999999999</v>
      </c>
      <c r="F19" s="191">
        <f>E19*'Teine 42'!F19/'Teine 42'!E19</f>
        <v>7.2780000000000005</v>
      </c>
      <c r="G19" s="191">
        <f>F19*'Teine 42'!G19/'Teine 42'!F19</f>
        <v>6.45</v>
      </c>
    </row>
    <row r="20" spans="1:7" x14ac:dyDescent="0.25">
      <c r="A20" s="71"/>
      <c r="B20" s="82" t="str">
        <f>'Teine 42'!B20</f>
        <v>Värskekapsaborš sealihaga</v>
      </c>
      <c r="C20" s="72">
        <v>150</v>
      </c>
      <c r="D20" s="191">
        <f>C20*'Teine 42'!D20/'Teine 42'!C20</f>
        <v>162.28800000000001</v>
      </c>
      <c r="E20" s="191">
        <f>D20*'Teine 42'!E20/'Teine 42'!D20</f>
        <v>16.457999999999998</v>
      </c>
      <c r="F20" s="191">
        <f>E20*'Teine 42'!F20/'Teine 42'!E20</f>
        <v>8.3519999999999985</v>
      </c>
      <c r="G20" s="191">
        <f>F20*'Teine 42'!G20/'Teine 42'!F20</f>
        <v>7.4159999999999986</v>
      </c>
    </row>
    <row r="21" spans="1:7" x14ac:dyDescent="0.25">
      <c r="A21" s="71"/>
      <c r="B21" s="82" t="str">
        <f>'Teine 42'!B21</f>
        <v>Hapukoor (L)</v>
      </c>
      <c r="C21" s="72">
        <v>10</v>
      </c>
      <c r="D21" s="191">
        <f>C21*'Teine 42'!D21/'Teine 42'!C21</f>
        <v>22.2</v>
      </c>
      <c r="E21" s="191">
        <f>D21*'Teine 42'!E21/'Teine 42'!D21</f>
        <v>0.38</v>
      </c>
      <c r="F21" s="191">
        <f>E21*'Teine 42'!F21/'Teine 42'!E21</f>
        <v>2.15</v>
      </c>
      <c r="G21" s="191">
        <f>F21*'Teine 42'!G21/'Teine 42'!F21</f>
        <v>0.33</v>
      </c>
    </row>
    <row r="22" spans="1:7" ht="14.25" customHeight="1" x14ac:dyDescent="0.25">
      <c r="A22" s="71"/>
      <c r="B22" s="82" t="str">
        <f>'Teine 42'!B22</f>
        <v>Kakaotarretis marjapüreega (L)</v>
      </c>
      <c r="C22" s="72">
        <v>160</v>
      </c>
      <c r="D22" s="191">
        <f>C22*'Teine 42'!D22/'Teine 42'!C22</f>
        <v>172.2</v>
      </c>
      <c r="E22" s="191">
        <f>D22*'Teine 42'!E22/'Teine 42'!D22</f>
        <v>20.8</v>
      </c>
      <c r="F22" s="191">
        <f>E22*'Teine 42'!F22/'Teine 42'!E22</f>
        <v>5.4560000000000004</v>
      </c>
      <c r="G22" s="191">
        <f>F22*'Teine 42'!G22/'Teine 42'!F22</f>
        <v>6.1499999999999995</v>
      </c>
    </row>
    <row r="23" spans="1:7" x14ac:dyDescent="0.25">
      <c r="A23" s="71"/>
      <c r="B23" s="82" t="str">
        <f>'Teine 42'!B23</f>
        <v>PRIA Piimatooted (piim, keefir) (L)</v>
      </c>
      <c r="C23" s="72">
        <v>100</v>
      </c>
      <c r="D23" s="191"/>
      <c r="E23" s="191"/>
      <c r="F23" s="191"/>
      <c r="G23" s="191"/>
    </row>
    <row r="24" spans="1:7" x14ac:dyDescent="0.25">
      <c r="A24" s="59"/>
      <c r="B24" s="82" t="str">
        <f>'Teine 42'!B24</f>
        <v>Rukkileiva- ja sepikutoodete valik (G)</v>
      </c>
      <c r="C24" s="72">
        <v>60</v>
      </c>
      <c r="D24" s="191">
        <f>C24*'Teine 42'!D24/'Teine 42'!C24</f>
        <v>138</v>
      </c>
      <c r="E24" s="191">
        <f>D24*'Teine 42'!E24/'Teine 42'!D24</f>
        <v>29.520000000000003</v>
      </c>
      <c r="F24" s="191">
        <f>E24*'Teine 42'!F24/'Teine 42'!E24</f>
        <v>0.99599999999999989</v>
      </c>
      <c r="G24" s="191">
        <f>F24*'Teine 42'!G24/'Teine 42'!F24</f>
        <v>4.7279999999999998</v>
      </c>
    </row>
    <row r="25" spans="1:7" x14ac:dyDescent="0.25">
      <c r="A25" s="59"/>
      <c r="B25" s="82" t="s">
        <v>141</v>
      </c>
      <c r="C25" s="43">
        <v>100</v>
      </c>
      <c r="D25" s="191">
        <f>C25*'Teine 42'!D25/'Teine 42'!C25</f>
        <v>35.6</v>
      </c>
      <c r="E25" s="191">
        <f>D25*'Teine 42'!E25/'Teine 42'!D25</f>
        <v>6.22</v>
      </c>
      <c r="F25" s="191">
        <f>E25*'Teine 42'!F25/'Teine 42'!E25</f>
        <v>0.1</v>
      </c>
      <c r="G25" s="191">
        <f>F25*'Teine 42'!G25/'Teine 42'!F25</f>
        <v>1.1000000000000001</v>
      </c>
    </row>
    <row r="26" spans="1:7" s="53" customFormat="1" x14ac:dyDescent="0.25">
      <c r="A26" s="65"/>
      <c r="B26" s="196" t="s">
        <v>8</v>
      </c>
      <c r="C26" s="67"/>
      <c r="D26" s="67">
        <f>SUM(D19:D25)</f>
        <v>699.78800000000001</v>
      </c>
      <c r="E26" s="67">
        <f>SUM(E19:E25)</f>
        <v>92.277999999999992</v>
      </c>
      <c r="F26" s="67">
        <f>SUM(F19:F25)</f>
        <v>24.331999999999997</v>
      </c>
      <c r="G26" s="67">
        <f>SUM(G19:G25)</f>
        <v>26.173999999999999</v>
      </c>
    </row>
    <row r="27" spans="1:7" x14ac:dyDescent="0.25">
      <c r="A27" s="14" t="s">
        <v>79</v>
      </c>
      <c r="B27" s="12" t="s">
        <v>114</v>
      </c>
      <c r="C27" s="314">
        <v>300</v>
      </c>
      <c r="D27" s="274">
        <f>1.2*198.26</f>
        <v>237.91199999999998</v>
      </c>
      <c r="E27" s="274">
        <f>1.2*28.5</f>
        <v>34.199999999999996</v>
      </c>
      <c r="F27" s="274">
        <f>1.2*9.98</f>
        <v>11.976000000000001</v>
      </c>
      <c r="G27" s="274">
        <f>1.2*3.6</f>
        <v>4.32</v>
      </c>
    </row>
    <row r="28" spans="1:7" s="22" customFormat="1" ht="30" customHeight="1" x14ac:dyDescent="0.25">
      <c r="A28" s="61" t="s">
        <v>10</v>
      </c>
      <c r="B28" s="237"/>
      <c r="C28" s="234" t="s">
        <v>2</v>
      </c>
      <c r="D28" s="234" t="s">
        <v>3</v>
      </c>
      <c r="E28" s="234" t="s">
        <v>4</v>
      </c>
      <c r="F28" s="234" t="s">
        <v>5</v>
      </c>
      <c r="G28" s="234" t="s">
        <v>6</v>
      </c>
    </row>
    <row r="29" spans="1:7" x14ac:dyDescent="0.25">
      <c r="A29" s="71" t="s">
        <v>7</v>
      </c>
      <c r="B29" s="89" t="str">
        <f>'Teine 42'!B29</f>
        <v>Kirju pikkpoiss kanalihast (G) (portsjon)</v>
      </c>
      <c r="C29" s="72">
        <v>50</v>
      </c>
      <c r="D29" s="191">
        <f>(C29/'Teine 42'!C29)*'Teine 42'!D29</f>
        <v>49.65</v>
      </c>
      <c r="E29" s="191">
        <f>(D29/'Teine 42'!D29)*'Teine 42'!E29</f>
        <v>1.9750000000000001</v>
      </c>
      <c r="F29" s="191">
        <f>(E29/'Teine 42'!E29)*'Teine 42'!F29</f>
        <v>1.01</v>
      </c>
      <c r="G29" s="191">
        <f>(F29/'Teine 42'!F29)*'Teine 42'!G29</f>
        <v>8</v>
      </c>
    </row>
    <row r="30" spans="1:7" x14ac:dyDescent="0.25">
      <c r="A30" s="71"/>
      <c r="B30" s="89" t="str">
        <f>'Teine 42'!B30</f>
        <v>Ahjus küpsetatud sealiha (portsjon)</v>
      </c>
      <c r="C30" s="72">
        <v>50</v>
      </c>
      <c r="D30" s="191">
        <f>(C30/'Teine 42'!C30)*'Teine 42'!D30</f>
        <v>119</v>
      </c>
      <c r="E30" s="191">
        <f>(D30/'Teine 42'!D30)*'Teine 42'!E30</f>
        <v>0.2</v>
      </c>
      <c r="F30" s="191">
        <f>(E30/'Teine 42'!E30)*'Teine 42'!F30</f>
        <v>7.3</v>
      </c>
      <c r="G30" s="191">
        <f>(F30/'Teine 42'!F30)*'Teine 42'!G30</f>
        <v>13.3</v>
      </c>
    </row>
    <row r="31" spans="1:7" x14ac:dyDescent="0.25">
      <c r="A31" s="71"/>
      <c r="B31" s="89" t="str">
        <f>'Teine 42'!B31</f>
        <v>Kartulipüree (L)</v>
      </c>
      <c r="C31" s="72">
        <v>100</v>
      </c>
      <c r="D31" s="191">
        <f>(C31/'Teine 42'!C31)*'Teine 42'!D31</f>
        <v>89.855999999999995</v>
      </c>
      <c r="E31" s="191">
        <f>(D31/'Teine 42'!D31)*'Teine 42'!E31</f>
        <v>14.413</v>
      </c>
      <c r="F31" s="191">
        <f>(E31/'Teine 42'!E31)*'Teine 42'!F31</f>
        <v>2.3572000000000002</v>
      </c>
      <c r="G31" s="191">
        <f>(F31/'Teine 42'!F31)*'Teine 42'!G31</f>
        <v>2.343</v>
      </c>
    </row>
    <row r="32" spans="1:7" x14ac:dyDescent="0.25">
      <c r="A32" s="59"/>
      <c r="B32" s="89" t="str">
        <f>'Teine 42'!B32</f>
        <v>Röstitud porgandid</v>
      </c>
      <c r="C32" s="72">
        <v>100</v>
      </c>
      <c r="D32" s="191">
        <f>(C32/'Teine 42'!C32)*'Teine 42'!D32</f>
        <v>51.4</v>
      </c>
      <c r="E32" s="191">
        <f>(D32/'Teine 42'!D32)*'Teine 42'!E32</f>
        <v>6.46</v>
      </c>
      <c r="F32" s="191">
        <f>(E32/'Teine 42'!E32)*'Teine 42'!F32</f>
        <v>1.79</v>
      </c>
      <c r="G32" s="191">
        <f>(F32/'Teine 42'!F32)*'Teine 42'!G32</f>
        <v>0.69199999999999995</v>
      </c>
    </row>
    <row r="33" spans="1:7" x14ac:dyDescent="0.25">
      <c r="A33" s="59"/>
      <c r="B33" s="89" t="str">
        <f>'Teine 42'!B33</f>
        <v>Kuskuss, aurutatud (G)</v>
      </c>
      <c r="C33" s="72">
        <v>100</v>
      </c>
      <c r="D33" s="191">
        <f>(C33/'Teine 42'!C33)*'Teine 42'!D33</f>
        <v>121.18571428571428</v>
      </c>
      <c r="E33" s="191">
        <f>(D33/'Teine 42'!D33)*'Teine 42'!E33</f>
        <v>25.071428571428573</v>
      </c>
      <c r="F33" s="191">
        <f>(E33/'Teine 42'!E33)*'Teine 42'!F33</f>
        <v>0.72857142857142865</v>
      </c>
      <c r="G33" s="191">
        <f>(F33/'Teine 42'!F33)*'Teine 42'!G33</f>
        <v>4.128571428571429</v>
      </c>
    </row>
    <row r="34" spans="1:7" x14ac:dyDescent="0.25">
      <c r="A34" s="59"/>
      <c r="B34" s="89" t="str">
        <f>'Teine 42'!B34</f>
        <v>Kaalika-õunasalat</v>
      </c>
      <c r="C34" s="72">
        <v>50</v>
      </c>
      <c r="D34" s="191">
        <f>(C34/'Teine 42'!C34)*'Teine 42'!D34</f>
        <v>27.5</v>
      </c>
      <c r="E34" s="191">
        <f>(D34/'Teine 42'!D34)*'Teine 42'!E34</f>
        <v>4.88</v>
      </c>
      <c r="F34" s="191">
        <f>(E34/'Teine 42'!E34)*'Teine 42'!F34</f>
        <v>1.03</v>
      </c>
      <c r="G34" s="191">
        <f>(F34/'Teine 42'!F34)*'Teine 42'!G34</f>
        <v>0.41</v>
      </c>
    </row>
    <row r="35" spans="1:7" x14ac:dyDescent="0.25">
      <c r="A35" s="58"/>
      <c r="B35" s="89" t="str">
        <f>'Teine 42'!B35</f>
        <v>Peet, kapsas, läätsed (keedetud)</v>
      </c>
      <c r="C35" s="72">
        <v>50</v>
      </c>
      <c r="D35" s="191">
        <f>(C35/'Teine 42'!C35)*'Teine 42'!D35</f>
        <v>67.010000000000005</v>
      </c>
      <c r="E35" s="191">
        <f>(D35/'Teine 42'!D35)*'Teine 42'!E35</f>
        <v>13.49</v>
      </c>
      <c r="F35" s="191">
        <f>(E35/'Teine 42'!E35)*'Teine 42'!F35</f>
        <v>0.34</v>
      </c>
      <c r="G35" s="191">
        <f>(F35/'Teine 42'!F35)*'Teine 42'!G35</f>
        <v>3.89</v>
      </c>
    </row>
    <row r="36" spans="1:7" x14ac:dyDescent="0.25">
      <c r="A36" s="58"/>
      <c r="B36" s="89" t="str">
        <f>'Teine 42'!B36</f>
        <v>Salatikaste</v>
      </c>
      <c r="C36" s="192">
        <v>5</v>
      </c>
      <c r="D36" s="191">
        <f>(C36/'Teine 42'!C36)*'Teine 42'!D36</f>
        <v>35.25</v>
      </c>
      <c r="E36" s="191">
        <f>(D36/'Teine 42'!D36)*'Teine 42'!E36</f>
        <v>0.03</v>
      </c>
      <c r="F36" s="191">
        <f>(E36/'Teine 42'!E36)*'Teine 42'!F36</f>
        <v>3.9</v>
      </c>
      <c r="G36" s="191">
        <f>(F36/'Teine 42'!F36)*'Teine 42'!G36</f>
        <v>0.01</v>
      </c>
    </row>
    <row r="37" spans="1:7" x14ac:dyDescent="0.25">
      <c r="A37" s="58"/>
      <c r="B37" s="89" t="str">
        <f>'Teine 42'!B37</f>
        <v>Seemnesegu</v>
      </c>
      <c r="C37" s="192">
        <v>15</v>
      </c>
      <c r="D37" s="191">
        <f>(C37/'Teine 42'!C37)*'Teine 42'!D37</f>
        <v>91.65</v>
      </c>
      <c r="E37" s="191">
        <f>(D37/'Teine 42'!D37)*'Teine 42'!E37</f>
        <v>2.13</v>
      </c>
      <c r="F37" s="191">
        <f>(E37/'Teine 42'!E37)*'Teine 42'!F37</f>
        <v>8.0399999999999991</v>
      </c>
      <c r="G37" s="191">
        <f>(F37/'Teine 42'!F37)*'Teine 42'!G37</f>
        <v>3.36</v>
      </c>
    </row>
    <row r="38" spans="1:7" x14ac:dyDescent="0.25">
      <c r="A38" s="71"/>
      <c r="B38" s="89" t="str">
        <f>'Teine 42'!B38</f>
        <v>PRIA Piimatooted (piim, keefir) (L)</v>
      </c>
      <c r="C38" s="195">
        <v>100</v>
      </c>
      <c r="D38" s="191"/>
      <c r="E38" s="191"/>
      <c r="F38" s="191"/>
      <c r="G38" s="191"/>
    </row>
    <row r="39" spans="1:7" x14ac:dyDescent="0.25">
      <c r="A39" s="58"/>
      <c r="B39" s="89" t="str">
        <f>'Teine 42'!B39</f>
        <v>Rukkileiva- ja sepikutoodete valik (G)</v>
      </c>
      <c r="C39" s="193">
        <v>60</v>
      </c>
      <c r="D39" s="191">
        <f>(C39/'Teine 42'!C39)*'Teine 42'!D39</f>
        <v>138</v>
      </c>
      <c r="E39" s="191">
        <f>(D39/'Teine 42'!D39)*'Teine 42'!E39</f>
        <v>29.52</v>
      </c>
      <c r="F39" s="191">
        <f>(E39/'Teine 42'!E39)*'Teine 42'!F39</f>
        <v>0.99599999999999989</v>
      </c>
      <c r="G39" s="191">
        <f>(F39/'Teine 42'!F39)*'Teine 42'!G39</f>
        <v>4.7279999999999998</v>
      </c>
    </row>
    <row r="40" spans="1:7" x14ac:dyDescent="0.25">
      <c r="A40" s="59"/>
      <c r="B40" s="89" t="s">
        <v>125</v>
      </c>
      <c r="C40" s="72">
        <v>100</v>
      </c>
      <c r="D40" s="191">
        <f>(C40/'Teine 42'!C40)*'Teine 42'!D40</f>
        <v>45.7</v>
      </c>
      <c r="E40" s="191">
        <f>(D40/'Teine 42'!D40)*'Teine 42'!E40</f>
        <v>10.01</v>
      </c>
      <c r="F40" s="191">
        <f>(E40/'Teine 42'!E40)*'Teine 42'!F40</f>
        <v>0.3</v>
      </c>
      <c r="G40" s="191">
        <f>(F40/'Teine 42'!F40)*'Teine 42'!G40</f>
        <v>0.5</v>
      </c>
    </row>
    <row r="41" spans="1:7" s="53" customFormat="1" x14ac:dyDescent="0.25">
      <c r="A41" s="65"/>
      <c r="B41" s="196" t="s">
        <v>8</v>
      </c>
      <c r="C41" s="67"/>
      <c r="D41" s="67">
        <f>SUM(D29:D40)</f>
        <v>836.20171428571427</v>
      </c>
      <c r="E41" s="67">
        <f>SUM(E29:E40)</f>
        <v>108.17942857142857</v>
      </c>
      <c r="F41" s="67">
        <f>SUM(F29:F40)</f>
        <v>27.791771428571426</v>
      </c>
      <c r="G41" s="67">
        <f>SUM(G29:G40)</f>
        <v>41.36157142857143</v>
      </c>
    </row>
    <row r="42" spans="1:7" x14ac:dyDescent="0.25">
      <c r="A42" s="336" t="s">
        <v>79</v>
      </c>
      <c r="B42" s="113" t="s">
        <v>88</v>
      </c>
      <c r="C42" s="314">
        <v>150</v>
      </c>
      <c r="D42" s="338">
        <f>1.07*247.77</f>
        <v>265.1139</v>
      </c>
      <c r="E42" s="338">
        <f>1.07*34.98</f>
        <v>37.428599999999996</v>
      </c>
      <c r="F42" s="338">
        <f>1.07*7.94</f>
        <v>8.4958000000000009</v>
      </c>
      <c r="G42" s="338">
        <f>1.07*6.343</f>
        <v>6.7870100000000004</v>
      </c>
    </row>
    <row r="43" spans="1:7" s="22" customFormat="1" ht="30" customHeight="1" x14ac:dyDescent="0.25">
      <c r="A43" s="61" t="s">
        <v>11</v>
      </c>
      <c r="B43" s="233"/>
      <c r="C43" s="234" t="s">
        <v>2</v>
      </c>
      <c r="D43" s="234" t="s">
        <v>3</v>
      </c>
      <c r="E43" s="234" t="s">
        <v>4</v>
      </c>
      <c r="F43" s="234" t="s">
        <v>5</v>
      </c>
      <c r="G43" s="234" t="s">
        <v>6</v>
      </c>
    </row>
    <row r="44" spans="1:7" s="22" customFormat="1" x14ac:dyDescent="0.25">
      <c r="A44" s="71" t="s">
        <v>7</v>
      </c>
      <c r="B44" s="83" t="str">
        <f>'Teine 42'!B44</f>
        <v>Kodune kalaseljanka</v>
      </c>
      <c r="C44" s="72">
        <v>150</v>
      </c>
      <c r="D44" s="191">
        <f>C44*'Teine 42'!D44/'Teine 42'!C44</f>
        <v>163.5</v>
      </c>
      <c r="E44" s="191">
        <f>D44*'Teine 42'!E44/'Teine 42'!D44</f>
        <v>11.069999999999999</v>
      </c>
      <c r="F44" s="191">
        <f>E44*'Teine 42'!F44/'Teine 42'!E44</f>
        <v>7.8599999999999985</v>
      </c>
      <c r="G44" s="191">
        <f>F44*'Teine 42'!G44/'Teine 42'!F44</f>
        <v>8.5379999999999985</v>
      </c>
    </row>
    <row r="45" spans="1:7" s="22" customFormat="1" x14ac:dyDescent="0.25">
      <c r="A45" s="71"/>
      <c r="B45" s="83" t="str">
        <f>'Teine 42'!B45</f>
        <v>Külasupp sealihaga (G)</v>
      </c>
      <c r="C45" s="72">
        <v>150</v>
      </c>
      <c r="D45" s="191">
        <f>C45*'Teine 42'!D45/'Teine 42'!C45</f>
        <v>105.03</v>
      </c>
      <c r="E45" s="191">
        <f>D45*'Teine 42'!E45/'Teine 42'!D45</f>
        <v>11.081999999999999</v>
      </c>
      <c r="F45" s="191">
        <f>E45*'Teine 42'!F45/'Teine 42'!E45</f>
        <v>5.0880000000000001</v>
      </c>
      <c r="G45" s="191">
        <f>F45*'Teine 42'!G45/'Teine 42'!F45</f>
        <v>4.5119999999999996</v>
      </c>
    </row>
    <row r="46" spans="1:7" s="22" customFormat="1" x14ac:dyDescent="0.25">
      <c r="A46" s="71"/>
      <c r="B46" s="83" t="str">
        <f>'Teine 42'!B46</f>
        <v>Hapukoor (L)</v>
      </c>
      <c r="C46" s="72">
        <v>10</v>
      </c>
      <c r="D46" s="191">
        <f>C46*'Teine 42'!D46/'Teine 42'!C46</f>
        <v>22.2</v>
      </c>
      <c r="E46" s="191">
        <f>D46*'Teine 42'!E46/'Teine 42'!D46</f>
        <v>0.38</v>
      </c>
      <c r="F46" s="191">
        <f>E46*'Teine 42'!F46/'Teine 42'!E46</f>
        <v>2.15</v>
      </c>
      <c r="G46" s="191">
        <f>F46*'Teine 42'!G46/'Teine 42'!F46</f>
        <v>0.33</v>
      </c>
    </row>
    <row r="47" spans="1:7" s="22" customFormat="1" x14ac:dyDescent="0.25">
      <c r="A47" s="71"/>
      <c r="B47" s="83" t="str">
        <f>'Teine 42'!B47</f>
        <v>Mustsõstra-rukkivaht piimaga</v>
      </c>
      <c r="C47" s="72">
        <v>160</v>
      </c>
      <c r="D47" s="191">
        <f>C47*'Teine 42'!D47/'Teine 42'!C47</f>
        <v>136</v>
      </c>
      <c r="E47" s="191">
        <f>D47*'Teine 42'!E47/'Teine 42'!D47</f>
        <v>29.12</v>
      </c>
      <c r="F47" s="191">
        <f>E47*'Teine 42'!F47/'Teine 42'!E47</f>
        <v>0.44600000000000001</v>
      </c>
      <c r="G47" s="191">
        <f>F47*'Teine 42'!G47/'Teine 42'!F47</f>
        <v>2.56</v>
      </c>
    </row>
    <row r="48" spans="1:7" s="22" customFormat="1" x14ac:dyDescent="0.25">
      <c r="A48" s="71"/>
      <c r="B48" s="83" t="str">
        <f>'Teine 42'!B48</f>
        <v>PRIA Piimatooted (piim, keefir) (L)</v>
      </c>
      <c r="C48" s="72">
        <v>100</v>
      </c>
      <c r="D48" s="191"/>
      <c r="E48" s="191"/>
      <c r="F48" s="191"/>
      <c r="G48" s="191"/>
    </row>
    <row r="49" spans="1:12" s="22" customFormat="1" x14ac:dyDescent="0.25">
      <c r="A49" s="71"/>
      <c r="B49" s="83" t="str">
        <f>'Teine 42'!B49</f>
        <v xml:space="preserve">Rukkileiva- ja sepikutoodete valik </v>
      </c>
      <c r="C49" s="72">
        <v>60</v>
      </c>
      <c r="D49" s="191">
        <f>C49*'Teine 42'!D49/'Teine 42'!C49</f>
        <v>138</v>
      </c>
      <c r="E49" s="191">
        <f>D49*'Teine 42'!E49/'Teine 42'!D49</f>
        <v>29.520000000000003</v>
      </c>
      <c r="F49" s="191">
        <f>E49*'Teine 42'!F49/'Teine 42'!E49</f>
        <v>0.99599999999999989</v>
      </c>
      <c r="G49" s="191">
        <f>F49*'Teine 42'!G49/'Teine 42'!F49</f>
        <v>4.7279999999999998</v>
      </c>
    </row>
    <row r="50" spans="1:12" x14ac:dyDescent="0.25">
      <c r="A50" s="58"/>
      <c r="B50" s="83" t="s">
        <v>130</v>
      </c>
      <c r="C50" s="73">
        <v>100</v>
      </c>
      <c r="D50" s="191">
        <f>C50*'Teine 42'!D50/'Teine 42'!C50</f>
        <v>32.4</v>
      </c>
      <c r="E50" s="191">
        <f>D50*'Teine 42'!E50/'Teine 42'!D50</f>
        <v>5.6</v>
      </c>
      <c r="F50" s="191">
        <f>E50*'Teine 42'!F50/'Teine 42'!E50</f>
        <v>0.19999999999999998</v>
      </c>
      <c r="G50" s="191">
        <f>F50*'Teine 42'!G50/'Teine 42'!F50</f>
        <v>0.59999999999999987</v>
      </c>
    </row>
    <row r="51" spans="1:12" s="53" customFormat="1" x14ac:dyDescent="0.25">
      <c r="A51" s="65"/>
      <c r="B51" s="196" t="s">
        <v>8</v>
      </c>
      <c r="C51" s="67"/>
      <c r="D51" s="67">
        <f>SUM(D44:D50)</f>
        <v>597.13</v>
      </c>
      <c r="E51" s="67">
        <f>SUM(E44:E50)</f>
        <v>86.771999999999991</v>
      </c>
      <c r="F51" s="67">
        <f>SUM(F44:F50)</f>
        <v>16.739999999999998</v>
      </c>
      <c r="G51" s="67">
        <f>SUM(G44:G50)</f>
        <v>21.268000000000001</v>
      </c>
    </row>
    <row r="52" spans="1:12" x14ac:dyDescent="0.25">
      <c r="A52" s="14" t="s">
        <v>79</v>
      </c>
      <c r="B52" s="12" t="s">
        <v>64</v>
      </c>
      <c r="C52" s="314">
        <v>300</v>
      </c>
      <c r="D52" s="260">
        <f>1.2*154.25</f>
        <v>185.1</v>
      </c>
      <c r="E52" s="260">
        <f>1.2*6.38</f>
        <v>7.6559999999999997</v>
      </c>
      <c r="F52" s="260">
        <f>1.2*6.73</f>
        <v>8.0760000000000005</v>
      </c>
      <c r="G52" s="260">
        <f>1.2*10.65</f>
        <v>12.78</v>
      </c>
    </row>
    <row r="53" spans="1:12" s="22" customFormat="1" ht="30" customHeight="1" x14ac:dyDescent="0.25">
      <c r="A53" s="61" t="s">
        <v>12</v>
      </c>
      <c r="B53" s="237"/>
      <c r="C53" s="234" t="s">
        <v>2</v>
      </c>
      <c r="D53" s="234" t="s">
        <v>3</v>
      </c>
      <c r="E53" s="234" t="s">
        <v>4</v>
      </c>
      <c r="F53" s="234" t="s">
        <v>5</v>
      </c>
      <c r="G53" s="234" t="s">
        <v>6</v>
      </c>
    </row>
    <row r="54" spans="1:12" x14ac:dyDescent="0.25">
      <c r="A54" s="71" t="s">
        <v>7</v>
      </c>
      <c r="B54" s="89" t="str">
        <f>'Teine 42'!B54</f>
        <v>Ühepajatoit sealihaga</v>
      </c>
      <c r="C54" s="72">
        <v>75</v>
      </c>
      <c r="D54" s="191">
        <f>(C54/'Teine 42'!C54)*'Teine 42'!D54</f>
        <v>69.996428571428567</v>
      </c>
      <c r="E54" s="191">
        <f>(D54/'Teine 42'!D54)*'Teine 42'!E54</f>
        <v>11.614285714285714</v>
      </c>
      <c r="F54" s="191">
        <f>(E54/'Teine 42'!E54)*'Teine 42'!F54</f>
        <v>8.6517857142857135</v>
      </c>
      <c r="G54" s="191">
        <f>(F54/'Teine 42'!F54)*'Teine 42'!G54</f>
        <v>4.7249999999999996</v>
      </c>
    </row>
    <row r="55" spans="1:12" x14ac:dyDescent="0.25">
      <c r="A55" s="71"/>
      <c r="B55" s="89" t="str">
        <f>'Teine 42'!B55</f>
        <v>Böfstrooganov (G, L)</v>
      </c>
      <c r="C55" s="72">
        <v>75</v>
      </c>
      <c r="D55" s="191">
        <f>(C55/'Teine 42'!C55)*'Teine 42'!D55</f>
        <v>126.17142857142858</v>
      </c>
      <c r="E55" s="191">
        <f>(D55/'Teine 42'!D55)*'Teine 42'!E55</f>
        <v>6.3</v>
      </c>
      <c r="F55" s="191">
        <f>(E55/'Teine 42'!E55)*'Teine 42'!F55</f>
        <v>9.053571428571427</v>
      </c>
      <c r="G55" s="191">
        <f>(F55/'Teine 42'!F55)*'Teine 42'!G55</f>
        <v>5.2767857142857135</v>
      </c>
    </row>
    <row r="56" spans="1:12" x14ac:dyDescent="0.25">
      <c r="A56" s="71"/>
      <c r="B56" s="89" t="str">
        <f>'Teine 42'!B56</f>
        <v>Kartul, aurutatud</v>
      </c>
      <c r="C56" s="72">
        <v>100</v>
      </c>
      <c r="D56" s="191">
        <f>(C56/'Teine 42'!C56)*'Teine 42'!D56</f>
        <v>74.975999999999999</v>
      </c>
      <c r="E56" s="191">
        <f>(D56/'Teine 42'!D56)*'Teine 42'!E56</f>
        <v>17.324000000000002</v>
      </c>
      <c r="F56" s="191">
        <f>(E56/'Teine 42'!E56)*'Teine 42'!F56</f>
        <v>9.9400000000000002E-2</v>
      </c>
      <c r="G56" s="191">
        <f>(F56/'Teine 42'!F56)*'Teine 42'!G56</f>
        <v>1.9454</v>
      </c>
    </row>
    <row r="57" spans="1:12" x14ac:dyDescent="0.25">
      <c r="A57" s="71"/>
      <c r="B57" s="89" t="str">
        <f>'Teine 42'!B57</f>
        <v>Tatar, aurutatud</v>
      </c>
      <c r="C57" s="72">
        <v>100</v>
      </c>
      <c r="D57" s="191">
        <f>(C57/'Teine 42'!C57)*'Teine 42'!D57</f>
        <v>74.975999999999999</v>
      </c>
      <c r="E57" s="191">
        <f>(D57/'Teine 42'!D57)*'Teine 42'!E57</f>
        <v>17.324000000000002</v>
      </c>
      <c r="F57" s="191">
        <f>(E57/'Teine 42'!E57)*'Teine 42'!F57</f>
        <v>9.9400000000000002E-2</v>
      </c>
      <c r="G57" s="191">
        <f>(F57/'Teine 42'!F57)*'Teine 42'!G57</f>
        <v>1.9454</v>
      </c>
    </row>
    <row r="58" spans="1:12" x14ac:dyDescent="0.25">
      <c r="A58" s="59"/>
      <c r="B58" s="89" t="str">
        <f>'Teine 42'!B58</f>
        <v>Kruubid, keedetud</v>
      </c>
      <c r="C58" s="72">
        <v>100</v>
      </c>
      <c r="D58" s="191">
        <f>(C58/'Teine 42'!C58)*'Teine 42'!D58</f>
        <v>113</v>
      </c>
      <c r="E58" s="191">
        <f>(D58/'Teine 42'!D58)*'Teine 42'!E58</f>
        <v>22.4</v>
      </c>
      <c r="F58" s="191">
        <f>(E58/'Teine 42'!E58)*'Teine 42'!F58</f>
        <v>0.70899999999999996</v>
      </c>
      <c r="G58" s="191">
        <f>(F58/'Teine 42'!F58)*'Teine 42'!G58</f>
        <v>2.94</v>
      </c>
    </row>
    <row r="59" spans="1:12" x14ac:dyDescent="0.25">
      <c r="A59" s="59"/>
      <c r="B59" s="89" t="str">
        <f>'Teine 42'!B59</f>
        <v>Peedisalat porruga</v>
      </c>
      <c r="C59" s="72">
        <v>50</v>
      </c>
      <c r="D59" s="191">
        <f>(C59/'Teine 42'!C59)*'Teine 42'!D59</f>
        <v>28.12</v>
      </c>
      <c r="E59" s="191">
        <f>(D59/'Teine 42'!D59)*'Teine 42'!E59</f>
        <v>4.2699999999999996</v>
      </c>
      <c r="F59" s="191">
        <f>(E59/'Teine 42'!E59)*'Teine 42'!F59</f>
        <v>1.26</v>
      </c>
      <c r="G59" s="191">
        <f>(F59/'Teine 42'!F59)*'Teine 42'!G59</f>
        <v>0.54</v>
      </c>
    </row>
    <row r="60" spans="1:12" x14ac:dyDescent="0.25">
      <c r="A60" s="59"/>
      <c r="B60" s="89" t="str">
        <f>'Teine 42'!B60</f>
        <v>Punane kapsas, roheline hernes, marineeritud kurk</v>
      </c>
      <c r="C60" s="238">
        <v>50</v>
      </c>
      <c r="D60" s="191">
        <f>(C60/'Teine 42'!C60)*'Teine 42'!D60</f>
        <v>28.6</v>
      </c>
      <c r="E60" s="191">
        <f>(D60/'Teine 42'!D60)*'Teine 42'!E60</f>
        <v>2.86</v>
      </c>
      <c r="F60" s="191">
        <f>(E60/'Teine 42'!E60)*'Teine 42'!F60</f>
        <v>1.115</v>
      </c>
      <c r="G60" s="191">
        <f>(F60/'Teine 42'!F60)*'Teine 42'!G60</f>
        <v>0.91</v>
      </c>
      <c r="H60" s="40"/>
      <c r="I60" s="40"/>
      <c r="J60" s="40"/>
      <c r="K60" s="40"/>
      <c r="L60" s="40"/>
    </row>
    <row r="61" spans="1:12" x14ac:dyDescent="0.25">
      <c r="A61" s="59"/>
      <c r="B61" s="89" t="str">
        <f>'Teine 42'!B61</f>
        <v>Salatikaste</v>
      </c>
      <c r="C61" s="72">
        <v>5</v>
      </c>
      <c r="D61" s="191">
        <f>(C61/'Teine 42'!C61)*'Teine 42'!D61</f>
        <v>35.25</v>
      </c>
      <c r="E61" s="191">
        <f>(D61/'Teine 42'!D61)*'Teine 42'!E61</f>
        <v>0.03</v>
      </c>
      <c r="F61" s="191">
        <f>(E61/'Teine 42'!E61)*'Teine 42'!F61</f>
        <v>3.9</v>
      </c>
      <c r="G61" s="191">
        <f>(F61/'Teine 42'!F61)*'Teine 42'!G61</f>
        <v>0.01</v>
      </c>
    </row>
    <row r="62" spans="1:12" x14ac:dyDescent="0.25">
      <c r="A62" s="59"/>
      <c r="B62" s="89" t="str">
        <f>'Teine 42'!B62</f>
        <v>Seemnesegu</v>
      </c>
      <c r="C62" s="43">
        <v>15</v>
      </c>
      <c r="D62" s="191">
        <f>(C62/'Teine 42'!C62)*'Teine 42'!D62</f>
        <v>91.649850000000001</v>
      </c>
      <c r="E62" s="191">
        <f>(D62/'Teine 42'!D62)*'Teine 42'!E62</f>
        <v>2.1298499999999998</v>
      </c>
      <c r="F62" s="191">
        <f>(E62/'Teine 42'!E62)*'Teine 42'!F62</f>
        <v>8.0398499999999995</v>
      </c>
      <c r="G62" s="191">
        <f>(F62/'Teine 42'!F62)*'Teine 42'!G62</f>
        <v>3.3598499999999998</v>
      </c>
    </row>
    <row r="63" spans="1:12" x14ac:dyDescent="0.25">
      <c r="A63" s="59"/>
      <c r="B63" s="89" t="str">
        <f>'Teine 42'!B63</f>
        <v>PRIA Piimatooted (piim, keefir) (L)</v>
      </c>
      <c r="C63" s="192">
        <v>100</v>
      </c>
      <c r="D63" s="191"/>
      <c r="E63" s="191"/>
      <c r="F63" s="191"/>
      <c r="G63" s="191"/>
    </row>
    <row r="64" spans="1:12" x14ac:dyDescent="0.25">
      <c r="A64" s="59"/>
      <c r="B64" s="89" t="str">
        <f>'Teine 42'!B64</f>
        <v>Maasika-jogurti smuuti kaerahelvestega (L, G)</v>
      </c>
      <c r="C64" s="192">
        <v>100</v>
      </c>
      <c r="D64" s="191">
        <f>(C64/'Teine 42'!C64)*'Teine 42'!D64</f>
        <v>116</v>
      </c>
      <c r="E64" s="191">
        <f>(D64/'Teine 42'!D64)*'Teine 42'!E64</f>
        <v>17.899999999999999</v>
      </c>
      <c r="F64" s="191">
        <f>(E64/'Teine 42'!E64)*'Teine 42'!F64</f>
        <v>2.37</v>
      </c>
      <c r="G64" s="191">
        <f>(F64/'Teine 42'!F64)*'Teine 42'!G64</f>
        <v>3.4</v>
      </c>
    </row>
    <row r="65" spans="1:7" x14ac:dyDescent="0.25">
      <c r="A65" s="58"/>
      <c r="B65" s="89" t="str">
        <f>'Teine 42'!B65</f>
        <v>Rukkileiva- ja sepikutoodete valik (G)</v>
      </c>
      <c r="C65" s="80">
        <v>60</v>
      </c>
      <c r="D65" s="191">
        <f>(C65/'Teine 42'!C65)*'Teine 42'!D65</f>
        <v>138</v>
      </c>
      <c r="E65" s="191">
        <f>(D65/'Teine 42'!D65)*'Teine 42'!E65</f>
        <v>29.52</v>
      </c>
      <c r="F65" s="191">
        <f>(E65/'Teine 42'!E65)*'Teine 42'!F65</f>
        <v>0.99599999999999989</v>
      </c>
      <c r="G65" s="191">
        <f>(F65/'Teine 42'!F65)*'Teine 42'!G65</f>
        <v>4.7279999999999998</v>
      </c>
    </row>
    <row r="66" spans="1:7" x14ac:dyDescent="0.25">
      <c r="A66" s="58"/>
      <c r="B66" s="89" t="str">
        <f>'Teine 42'!B66</f>
        <v>Banaan</v>
      </c>
      <c r="C66" s="18">
        <v>100</v>
      </c>
      <c r="D66" s="191">
        <f>(C66/'Teine 42'!C66)*'Teine 42'!D66</f>
        <v>67.599999999999994</v>
      </c>
      <c r="E66" s="191">
        <f>(D66/'Teine 42'!D66)*'Teine 42'!E66</f>
        <v>15.3</v>
      </c>
      <c r="F66" s="191">
        <f>(E66/'Teine 42'!E66)*'Teine 42'!F66</f>
        <v>0.2</v>
      </c>
      <c r="G66" s="191">
        <f>(F66/'Teine 42'!F66)*'Teine 42'!G66</f>
        <v>0.8</v>
      </c>
    </row>
    <row r="67" spans="1:7" s="53" customFormat="1" x14ac:dyDescent="0.25">
      <c r="A67" s="65"/>
      <c r="B67" s="317" t="s">
        <v>8</v>
      </c>
      <c r="C67" s="239"/>
      <c r="D67" s="239">
        <f>SUM(D54:D66)</f>
        <v>964.33970714285715</v>
      </c>
      <c r="E67" s="239">
        <f>SUM(E54:E66)</f>
        <v>146.97213571428574</v>
      </c>
      <c r="F67" s="239">
        <f>SUM(F54:F66)</f>
        <v>36.494007142857136</v>
      </c>
      <c r="G67" s="239">
        <f>SUM(G54:G66)</f>
        <v>30.580435714285716</v>
      </c>
    </row>
    <row r="68" spans="1:7" s="53" customFormat="1" x14ac:dyDescent="0.25">
      <c r="A68" s="310" t="s">
        <v>79</v>
      </c>
      <c r="B68" s="308" t="s">
        <v>89</v>
      </c>
      <c r="C68" s="313">
        <v>150</v>
      </c>
      <c r="D68" s="26">
        <f>1.07*176.5</f>
        <v>188.85500000000002</v>
      </c>
      <c r="E68" s="26">
        <f>1.07*20.8</f>
        <v>22.256000000000004</v>
      </c>
      <c r="F68" s="26">
        <f>1.07*9.65</f>
        <v>10.325500000000002</v>
      </c>
      <c r="G68" s="26">
        <f>1.07*6.825</f>
        <v>7.3027500000000005</v>
      </c>
    </row>
    <row r="69" spans="1:7" x14ac:dyDescent="0.25">
      <c r="B69" s="16" t="s">
        <v>13</v>
      </c>
      <c r="D69" s="285">
        <f>AVERAGE(D16,D26,D41,D51,D67)</f>
        <v>817.97274142857145</v>
      </c>
      <c r="E69" s="285">
        <f t="shared" ref="E69:G69" si="0">AVERAGE(E16,E26,E41,E51,E67)</f>
        <v>117.75259857142858</v>
      </c>
      <c r="F69" s="285">
        <f t="shared" si="0"/>
        <v>26.467541428571423</v>
      </c>
      <c r="G69" s="285">
        <f t="shared" si="0"/>
        <v>31.882638571428579</v>
      </c>
    </row>
    <row r="70" spans="1:7" x14ac:dyDescent="0.25">
      <c r="A70" s="303" t="s">
        <v>84</v>
      </c>
      <c r="B70" s="304"/>
    </row>
    <row r="71" spans="1:7" x14ac:dyDescent="0.25">
      <c r="A71" s="12" t="s">
        <v>60</v>
      </c>
      <c r="C71" s="11" t="s">
        <v>62</v>
      </c>
      <c r="D71" s="10"/>
      <c r="E71" s="10"/>
      <c r="F71" s="10"/>
      <c r="G71" s="9"/>
    </row>
  </sheetData>
  <pageMargins left="0.7" right="0.7" top="0.75" bottom="0.75" header="0.3" footer="0.3"/>
  <pageSetup paperSize="9" scale="6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27DA5-93FF-4FA5-A121-65EFCA1BCD64}">
  <sheetPr>
    <pageSetUpPr fitToPage="1"/>
  </sheetPr>
  <dimension ref="A1:L72"/>
  <sheetViews>
    <sheetView zoomScale="80" zoomScaleNormal="80" workbookViewId="0">
      <selection activeCell="L63" sqref="L63:M63"/>
    </sheetView>
  </sheetViews>
  <sheetFormatPr defaultColWidth="9.28515625" defaultRowHeight="15" x14ac:dyDescent="0.25"/>
  <cols>
    <col min="1" max="1" width="22.42578125" style="1" customWidth="1"/>
    <col min="2" max="2" width="53.28515625" style="1" customWidth="1"/>
    <col min="3" max="3" width="13.5703125" style="1" customWidth="1"/>
    <col min="4" max="4" width="14.28515625" style="1" customWidth="1"/>
    <col min="5" max="5" width="15.42578125" style="1" customWidth="1"/>
    <col min="6" max="6" width="11" style="1" customWidth="1"/>
    <col min="7" max="7" width="10.42578125" style="1" customWidth="1"/>
    <col min="8" max="16384" width="9.28515625" style="1"/>
  </cols>
  <sheetData>
    <row r="1" spans="1:11" ht="18.75" x14ac:dyDescent="0.3">
      <c r="B1" s="3"/>
    </row>
    <row r="2" spans="1:11" ht="46.5" customHeight="1" x14ac:dyDescent="0.35">
      <c r="A2" s="5" t="str">
        <f>'Teine 44'!A2</f>
        <v>Koolilõuna 30.10-03.11.2023</v>
      </c>
      <c r="B2" s="4"/>
      <c r="C2" s="10" t="s">
        <v>66</v>
      </c>
      <c r="D2" s="11"/>
    </row>
    <row r="3" spans="1:11" customFormat="1" ht="24.75" customHeight="1" x14ac:dyDescent="0.25">
      <c r="A3" s="61" t="s">
        <v>1</v>
      </c>
      <c r="B3" s="62"/>
      <c r="C3" s="63" t="s">
        <v>2</v>
      </c>
      <c r="D3" s="63" t="s">
        <v>3</v>
      </c>
      <c r="E3" s="63" t="s">
        <v>4</v>
      </c>
      <c r="F3" s="63" t="s">
        <v>5</v>
      </c>
      <c r="G3" s="63" t="s">
        <v>6</v>
      </c>
    </row>
    <row r="4" spans="1:11" ht="15.75" x14ac:dyDescent="0.25">
      <c r="A4" s="289" t="s">
        <v>7</v>
      </c>
      <c r="B4" s="293" t="str">
        <f>'Teine 44'!B4</f>
        <v>Chilli con carne (mahedamaitseline tšilli)</v>
      </c>
      <c r="C4" s="290">
        <v>75</v>
      </c>
      <c r="D4" s="214">
        <f>C4*'Teine 44'!D4/'Teine 44'!C4</f>
        <v>98.678571428571431</v>
      </c>
      <c r="E4" s="214">
        <f>D4*'Teine 44'!E4/'Teine 44'!D4</f>
        <v>10.633928571428573</v>
      </c>
      <c r="F4" s="214">
        <f>E4*'Teine 44'!F4/'Teine 44'!E4</f>
        <v>4.6500000000000004</v>
      </c>
      <c r="G4" s="214">
        <f>F4*'Teine 44'!G4/'Teine 44'!F4</f>
        <v>4.5321428571428584</v>
      </c>
    </row>
    <row r="5" spans="1:11" ht="15.75" x14ac:dyDescent="0.25">
      <c r="A5" s="383"/>
      <c r="B5" s="293" t="str">
        <f>'Teine 44'!B5</f>
        <v>Valge kalafileetükid koorekastmes (L, G)</v>
      </c>
      <c r="C5" s="290">
        <v>75</v>
      </c>
      <c r="D5" s="214">
        <f>C5*'Teine 44'!D5/'Teine 44'!C5</f>
        <v>87.241071428571431</v>
      </c>
      <c r="E5" s="214">
        <f>D5*'Teine 44'!E5/'Teine 44'!D5</f>
        <v>6.4660714285714294</v>
      </c>
      <c r="F5" s="214">
        <f>E5*'Teine 44'!F5/'Teine 44'!E5</f>
        <v>6.7553571428571431</v>
      </c>
      <c r="G5" s="214">
        <f>F5*'Teine 44'!G5/'Teine 44'!F5</f>
        <v>10.050000000000002</v>
      </c>
    </row>
    <row r="6" spans="1:11" ht="15.75" x14ac:dyDescent="0.25">
      <c r="A6" s="383"/>
      <c r="B6" s="293" t="str">
        <f>'Teine 44'!B6</f>
        <v>Kolme riisi segu, aurutatud</v>
      </c>
      <c r="C6" s="290">
        <v>100</v>
      </c>
      <c r="D6" s="214">
        <f>C6*'Teine 44'!D6/'Teine 44'!C6</f>
        <v>158.57142857142858</v>
      </c>
      <c r="E6" s="214">
        <f>D6*'Teine 44'!E6/'Teine 44'!D6</f>
        <v>35.571428571428569</v>
      </c>
      <c r="F6" s="214">
        <f>E6*'Teine 44'!F6/'Teine 44'!E6</f>
        <v>0.5714285714285714</v>
      </c>
      <c r="G6" s="214">
        <f>F6*'Teine 44'!G6/'Teine 44'!F6</f>
        <v>3.5714285714285707</v>
      </c>
    </row>
    <row r="7" spans="1:11" ht="15.75" x14ac:dyDescent="0.25">
      <c r="A7" s="177"/>
      <c r="B7" s="293" t="str">
        <f>'Teine 44'!B7</f>
        <v>Täisterapasta/pasta (G)</v>
      </c>
      <c r="C7" s="291">
        <v>100</v>
      </c>
      <c r="D7" s="214">
        <f>C7*'Teine 44'!D7/'Teine 44'!C7</f>
        <v>178.92</v>
      </c>
      <c r="E7" s="214">
        <f>D7*'Teine 44'!E7/'Teine 44'!D7</f>
        <v>34.1</v>
      </c>
      <c r="F7" s="214">
        <f>E7*'Teine 44'!F7/'Teine 44'!E7</f>
        <v>1.4</v>
      </c>
      <c r="G7" s="214">
        <f>F7*'Teine 44'!G7/'Teine 44'!F7</f>
        <v>6.6</v>
      </c>
    </row>
    <row r="8" spans="1:11" ht="15.75" x14ac:dyDescent="0.25">
      <c r="A8" s="177"/>
      <c r="B8" s="293" t="str">
        <f>'Teine 44'!B8</f>
        <v>Röstitud peet</v>
      </c>
      <c r="C8" s="291">
        <v>100</v>
      </c>
      <c r="D8" s="214">
        <f>C8*'Teine 44'!D8/'Teine 44'!C8</f>
        <v>59.2</v>
      </c>
      <c r="E8" s="214">
        <f>D8*'Teine 44'!E8/'Teine 44'!D8</f>
        <v>7.96</v>
      </c>
      <c r="F8" s="214">
        <f>E8*'Teine 44'!F8/'Teine 44'!E8</f>
        <v>1.79</v>
      </c>
      <c r="G8" s="214">
        <f>F8*'Teine 44'!G8/'Teine 44'!F8</f>
        <v>1.37</v>
      </c>
    </row>
    <row r="9" spans="1:11" ht="15.75" x14ac:dyDescent="0.25">
      <c r="A9" s="177"/>
      <c r="B9" s="293" t="str">
        <f>'Teine 44'!B9</f>
        <v>Kapsasalat magusa maisiga</v>
      </c>
      <c r="C9" s="290">
        <v>50</v>
      </c>
      <c r="D9" s="214">
        <f>C9*'Teine 44'!D9/'Teine 44'!C9</f>
        <v>19.100000000000001</v>
      </c>
      <c r="E9" s="214">
        <f>D9*'Teine 44'!E9/'Teine 44'!D9</f>
        <v>3.21</v>
      </c>
      <c r="F9" s="214">
        <f>E9*'Teine 44'!F9/'Teine 44'!E9</f>
        <v>0.14849999999999999</v>
      </c>
      <c r="G9" s="214">
        <f>F9*'Teine 44'!G9/'Teine 44'!F9</f>
        <v>0.72499999999999998</v>
      </c>
    </row>
    <row r="10" spans="1:11" ht="15.75" x14ac:dyDescent="0.25">
      <c r="A10" s="177"/>
      <c r="B10" s="293" t="str">
        <f>'Teine 44'!B10</f>
        <v>Kaalikas, suvikõrvits, šampinjonid peterselliga</v>
      </c>
      <c r="C10" s="291">
        <v>50</v>
      </c>
      <c r="D10" s="214">
        <f>C10*'Teine 44'!D10/'Teine 44'!C10</f>
        <v>31</v>
      </c>
      <c r="E10" s="214">
        <f>D10*'Teine 44'!E10/'Teine 44'!D10</f>
        <v>2.0350000000000001</v>
      </c>
      <c r="F10" s="214">
        <f>E10*'Teine 44'!F10/'Teine 44'!E10</f>
        <v>2.06</v>
      </c>
      <c r="G10" s="214">
        <f>F10*'Teine 44'!G10/'Teine 44'!F10</f>
        <v>0.73499999999999999</v>
      </c>
    </row>
    <row r="11" spans="1:11" ht="15.75" x14ac:dyDescent="0.25">
      <c r="A11" s="177"/>
      <c r="B11" s="293" t="str">
        <f>'Teine 44'!B11</f>
        <v>Salatikaste</v>
      </c>
      <c r="C11" s="291">
        <v>5</v>
      </c>
      <c r="D11" s="214">
        <f>C11*'Teine 44'!D11/'Teine 44'!C11</f>
        <v>35.25</v>
      </c>
      <c r="E11" s="214">
        <f>D11*'Teine 44'!E11/'Teine 44'!D11</f>
        <v>2.9999999999999995E-2</v>
      </c>
      <c r="F11" s="214">
        <f>E11*'Teine 44'!F11/'Teine 44'!E11</f>
        <v>3.8999999999999995</v>
      </c>
      <c r="G11" s="214">
        <f>F11*'Teine 44'!G11/'Teine 44'!F11</f>
        <v>9.9999999999999985E-3</v>
      </c>
    </row>
    <row r="12" spans="1:11" ht="15.75" x14ac:dyDescent="0.25">
      <c r="A12" s="177"/>
      <c r="B12" s="293" t="str">
        <f>'Teine 44'!B12</f>
        <v>Seemnesegu</v>
      </c>
      <c r="C12" s="292">
        <v>5</v>
      </c>
      <c r="D12" s="214">
        <f>C12*'Teine 44'!D12/'Teine 44'!C12</f>
        <v>30.55</v>
      </c>
      <c r="E12" s="214">
        <f>D12*'Teine 44'!E12/'Teine 44'!D12</f>
        <v>0.71</v>
      </c>
      <c r="F12" s="214">
        <f>E12*'Teine 44'!F12/'Teine 44'!E12</f>
        <v>2.6799999999999997</v>
      </c>
      <c r="G12" s="214">
        <f>F12*'Teine 44'!G12/'Teine 44'!F12</f>
        <v>1.1200000000000001</v>
      </c>
      <c r="H12" s="2"/>
      <c r="I12" s="2"/>
      <c r="J12" s="2"/>
      <c r="K12" s="2"/>
    </row>
    <row r="13" spans="1:11" ht="15.75" x14ac:dyDescent="0.25">
      <c r="A13" s="177"/>
      <c r="B13" s="293" t="str">
        <f>'Teine 44'!B13</f>
        <v>PRIA Piimatooted (piim, keefir) (L)</v>
      </c>
      <c r="C13" s="291">
        <v>100</v>
      </c>
      <c r="D13" s="214"/>
      <c r="E13" s="214"/>
      <c r="F13" s="214"/>
      <c r="G13" s="214"/>
      <c r="H13" s="2"/>
      <c r="I13" s="2"/>
      <c r="J13" s="2"/>
      <c r="K13" s="2"/>
    </row>
    <row r="14" spans="1:11" ht="15.75" x14ac:dyDescent="0.25">
      <c r="A14" s="177"/>
      <c r="B14" s="293" t="str">
        <f>'Teine 44'!B14</f>
        <v>Rukkileiva- ja sepikutoodete valik (G)</v>
      </c>
      <c r="C14" s="256">
        <v>60</v>
      </c>
      <c r="D14" s="214">
        <f>C14*'Teine 44'!D14/'Teine 44'!C14</f>
        <v>138</v>
      </c>
      <c r="E14" s="214">
        <f>D14*'Teine 44'!E14/'Teine 44'!D14</f>
        <v>29.520000000000003</v>
      </c>
      <c r="F14" s="214">
        <f>E14*'Teine 44'!F14/'Teine 44'!E14</f>
        <v>0.99599999999999989</v>
      </c>
      <c r="G14" s="214">
        <f>F14*'Teine 44'!G14/'Teine 44'!F14</f>
        <v>4.7279999999999998</v>
      </c>
    </row>
    <row r="15" spans="1:11" ht="15.75" x14ac:dyDescent="0.25">
      <c r="A15" s="177"/>
      <c r="B15" s="293" t="s">
        <v>174</v>
      </c>
      <c r="C15" s="179">
        <v>100</v>
      </c>
      <c r="D15" s="214">
        <f>C15*'Teine 44'!D15/'Teine 44'!C15</f>
        <v>48.3</v>
      </c>
      <c r="E15" s="214">
        <f>D15*'Teine 44'!E15/'Teine 44'!D15</f>
        <v>10.9</v>
      </c>
      <c r="F15" s="214">
        <f>E15*'Teine 44'!F15/'Teine 44'!E15</f>
        <v>0</v>
      </c>
      <c r="G15" s="214">
        <v>0</v>
      </c>
    </row>
    <row r="16" spans="1:11" ht="15.75" x14ac:dyDescent="0.25">
      <c r="A16" s="65"/>
      <c r="B16" s="173" t="s">
        <v>8</v>
      </c>
      <c r="C16" s="178"/>
      <c r="D16" s="157">
        <f>SUM(D4:D14)</f>
        <v>836.51107142857143</v>
      </c>
      <c r="E16" s="157">
        <f>SUM(E4:E14)</f>
        <v>130.23642857142855</v>
      </c>
      <c r="F16" s="157">
        <f>SUM(F4:F14)</f>
        <v>24.951285714285714</v>
      </c>
      <c r="G16" s="157">
        <f>SUM(G4:G14)</f>
        <v>33.441571428571436</v>
      </c>
    </row>
    <row r="17" spans="1:8" ht="15.75" customHeight="1" x14ac:dyDescent="0.25">
      <c r="A17" s="14" t="s">
        <v>79</v>
      </c>
      <c r="B17" s="12" t="s">
        <v>90</v>
      </c>
      <c r="C17" s="314">
        <v>150</v>
      </c>
      <c r="D17" s="26">
        <f>1.07*152.2</f>
        <v>162.85399999999998</v>
      </c>
      <c r="E17" s="26">
        <f>1.07*16.37</f>
        <v>17.515900000000002</v>
      </c>
      <c r="F17" s="26">
        <f>1.07*4.005</f>
        <v>4.2853500000000002</v>
      </c>
      <c r="G17" s="26">
        <f>1.07*13.365</f>
        <v>14.300550000000001</v>
      </c>
    </row>
    <row r="18" spans="1:8" customFormat="1" ht="24" customHeight="1" x14ac:dyDescent="0.25">
      <c r="A18" s="61" t="s">
        <v>9</v>
      </c>
      <c r="B18" s="62"/>
      <c r="C18" s="63" t="s">
        <v>2</v>
      </c>
      <c r="D18" s="63" t="s">
        <v>3</v>
      </c>
      <c r="E18" s="63" t="s">
        <v>4</v>
      </c>
      <c r="F18" s="63" t="s">
        <v>5</v>
      </c>
      <c r="G18" s="63" t="s">
        <v>6</v>
      </c>
    </row>
    <row r="19" spans="1:8" ht="15.75" x14ac:dyDescent="0.25">
      <c r="A19" s="64" t="s">
        <v>7</v>
      </c>
      <c r="B19" s="215" t="str">
        <f>'Teine 44'!B19</f>
        <v>Peedisupp veiseliha ja riivitud keedumunaga</v>
      </c>
      <c r="C19" s="192">
        <v>150</v>
      </c>
      <c r="D19" s="192">
        <f>C19*'Teine 44'!D19/'Teine 44'!C19</f>
        <v>133.5</v>
      </c>
      <c r="E19" s="192">
        <f>D19*'Teine 44'!E19/'Teine 44'!D19</f>
        <v>14.507999999999999</v>
      </c>
      <c r="F19" s="192">
        <f>E19*'Teine 44'!F19/'Teine 44'!E19</f>
        <v>6.3780000000000001</v>
      </c>
      <c r="G19" s="192">
        <f>F19*'Teine 44'!G19/'Teine 44'!F19</f>
        <v>9.2880000000000003</v>
      </c>
    </row>
    <row r="20" spans="1:8" ht="15.75" x14ac:dyDescent="0.25">
      <c r="A20" s="64"/>
      <c r="B20" s="215" t="str">
        <f>'Teine 44'!B20</f>
        <v>Hapukoor (L)</v>
      </c>
      <c r="C20" s="192">
        <v>10</v>
      </c>
      <c r="D20" s="192">
        <f>C20*'Teine 44'!D20/'Teine 44'!C20</f>
        <v>22.2</v>
      </c>
      <c r="E20" s="192">
        <f>D20*'Teine 44'!E20/'Teine 44'!D20</f>
        <v>0.38</v>
      </c>
      <c r="F20" s="192">
        <f>E20*'Teine 44'!F20/'Teine 44'!E20</f>
        <v>2.15</v>
      </c>
      <c r="G20" s="192">
        <f>F20*'Teine 44'!G20/'Teine 44'!F20</f>
        <v>0.33</v>
      </c>
    </row>
    <row r="21" spans="1:8" ht="15.75" x14ac:dyDescent="0.25">
      <c r="A21" s="64"/>
      <c r="B21" s="215" t="str">
        <f>'Teine 44'!B21</f>
        <v>Kana-nuudlisupp</v>
      </c>
      <c r="C21" s="192">
        <v>150</v>
      </c>
      <c r="D21" s="192">
        <f>C21*'Teine 44'!D21/'Teine 44'!C21</f>
        <v>130.86000000000001</v>
      </c>
      <c r="E21" s="192">
        <f>D21*'Teine 44'!E21/'Teine 44'!D21</f>
        <v>14.004000000000001</v>
      </c>
      <c r="F21" s="192">
        <f>E21*'Teine 44'!F21/'Teine 44'!E21</f>
        <v>4.4640000000000013</v>
      </c>
      <c r="G21" s="192">
        <f>F21*'Teine 44'!G21/'Teine 44'!F21</f>
        <v>7.9020000000000019</v>
      </c>
    </row>
    <row r="22" spans="1:8" ht="15.75" x14ac:dyDescent="0.25">
      <c r="A22" s="64"/>
      <c r="B22" s="215" t="str">
        <f>'Teine 44'!B22</f>
        <v>Vanillipuding punase sõstrapüreega (L)</v>
      </c>
      <c r="C22" s="192">
        <v>160</v>
      </c>
      <c r="D22" s="192">
        <f>C22*'Teine 44'!D22/'Teine 44'!C22</f>
        <v>222.4</v>
      </c>
      <c r="E22" s="192">
        <f>D22*'Teine 44'!E22/'Teine 44'!D22</f>
        <v>35.840000000000003</v>
      </c>
      <c r="F22" s="192">
        <f>E22*'Teine 44'!F22/'Teine 44'!E22</f>
        <v>5.92</v>
      </c>
      <c r="G22" s="192">
        <f>F22*'Teine 44'!G22/'Teine 44'!F22</f>
        <v>5.92</v>
      </c>
    </row>
    <row r="23" spans="1:8" ht="15.75" x14ac:dyDescent="0.25">
      <c r="A23" s="56"/>
      <c r="B23" s="215" t="str">
        <f>'Teine 44'!B23</f>
        <v>PRIA Piimatooted (piim, keefir) (L)</v>
      </c>
      <c r="C23" s="200">
        <v>100</v>
      </c>
      <c r="D23" s="192"/>
      <c r="E23" s="192"/>
      <c r="F23" s="192"/>
      <c r="G23" s="192"/>
      <c r="H23" s="2"/>
    </row>
    <row r="24" spans="1:8" ht="15.75" x14ac:dyDescent="0.25">
      <c r="A24" s="57"/>
      <c r="B24" s="215" t="str">
        <f>'Teine 44'!B24</f>
        <v>Rukkileiva- ja sepikutoodete valik (G)</v>
      </c>
      <c r="C24" s="192">
        <v>60</v>
      </c>
      <c r="D24" s="192">
        <f>C24*'Teine 44'!D24/'Teine 44'!C24</f>
        <v>138</v>
      </c>
      <c r="E24" s="192">
        <f>D24*'Teine 44'!E24/'Teine 44'!D24</f>
        <v>29.520000000000003</v>
      </c>
      <c r="F24" s="192">
        <f>E24*'Teine 44'!F24/'Teine 44'!E24</f>
        <v>0.99599999999999989</v>
      </c>
      <c r="G24" s="192">
        <f>F24*'Teine 44'!G24/'Teine 44'!F24</f>
        <v>4.7279999999999998</v>
      </c>
    </row>
    <row r="25" spans="1:8" ht="15.75" x14ac:dyDescent="0.25">
      <c r="A25" s="64"/>
      <c r="B25" s="215" t="s">
        <v>127</v>
      </c>
      <c r="C25" s="192">
        <v>100</v>
      </c>
      <c r="D25" s="192">
        <f>C25*'Teine 44'!D25/'Teine 44'!C25</f>
        <v>32.4</v>
      </c>
      <c r="E25" s="192">
        <f>D25*'Teine 44'!E25/'Teine 44'!D25</f>
        <v>5.6</v>
      </c>
      <c r="F25" s="192">
        <f>E25*'Teine 44'!F25/'Teine 44'!E25</f>
        <v>0.19999999999999998</v>
      </c>
      <c r="G25" s="192">
        <f>F25*'Teine 44'!G25/'Teine 44'!F25</f>
        <v>0.59999999999999987</v>
      </c>
    </row>
    <row r="26" spans="1:8" ht="15.75" x14ac:dyDescent="0.25">
      <c r="A26" s="69"/>
      <c r="B26" s="206" t="s">
        <v>8</v>
      </c>
      <c r="C26" s="66"/>
      <c r="D26" s="67">
        <f>SUM(D19:D25)</f>
        <v>679.36</v>
      </c>
      <c r="E26" s="67">
        <f>SUM(E19:E25)</f>
        <v>99.852000000000004</v>
      </c>
      <c r="F26" s="67">
        <f>SUM(F19:F25)</f>
        <v>20.107999999999997</v>
      </c>
      <c r="G26" s="67">
        <f>SUM(G19:G25)</f>
        <v>28.768000000000008</v>
      </c>
    </row>
    <row r="27" spans="1:8" ht="16.5" customHeight="1" x14ac:dyDescent="0.25">
      <c r="A27" s="14" t="s">
        <v>79</v>
      </c>
      <c r="B27" s="12" t="s">
        <v>117</v>
      </c>
      <c r="C27" s="314">
        <v>300</v>
      </c>
      <c r="D27" s="262">
        <f>1.2*184.78</f>
        <v>221.73599999999999</v>
      </c>
      <c r="E27" s="262">
        <f>1.2*17.3</f>
        <v>20.76</v>
      </c>
      <c r="F27" s="262">
        <f>1.2*9.54</f>
        <v>11.447999999999999</v>
      </c>
      <c r="G27" s="262">
        <f>1.2*7.69</f>
        <v>9.2279999999999998</v>
      </c>
    </row>
    <row r="28" spans="1:8" customFormat="1" ht="24" customHeight="1" x14ac:dyDescent="0.25">
      <c r="A28" s="68" t="s">
        <v>10</v>
      </c>
      <c r="B28" s="245"/>
      <c r="C28" s="246" t="s">
        <v>2</v>
      </c>
      <c r="D28" s="246" t="s">
        <v>3</v>
      </c>
      <c r="E28" s="63" t="s">
        <v>4</v>
      </c>
      <c r="F28" s="246" t="s">
        <v>5</v>
      </c>
      <c r="G28" s="246" t="s">
        <v>6</v>
      </c>
    </row>
    <row r="29" spans="1:8" ht="15.75" x14ac:dyDescent="0.25">
      <c r="A29" s="64" t="s">
        <v>7</v>
      </c>
      <c r="B29" s="216" t="str">
        <f>'Teine 44'!B29</f>
        <v>Hakkliha-porgandipikkpoiss (G) (portsjon)</v>
      </c>
      <c r="C29" s="192">
        <v>50</v>
      </c>
      <c r="D29" s="192">
        <f>C29*'Teine 44'!D29/'Teine 44'!C29</f>
        <v>156</v>
      </c>
      <c r="E29" s="192">
        <f>D29*'Teine 44'!E29/'Teine 44'!D29</f>
        <v>29.44</v>
      </c>
      <c r="F29" s="192">
        <f>E29*'Teine 44'!F29/'Teine 44'!E29</f>
        <v>9.5</v>
      </c>
      <c r="G29" s="192">
        <f>F29*'Teine 44'!G29/'Teine 44'!F29</f>
        <v>11.68</v>
      </c>
    </row>
    <row r="30" spans="1:8" ht="15.75" x14ac:dyDescent="0.25">
      <c r="A30" s="64"/>
      <c r="B30" s="216" t="str">
        <f>'Teine 44'!B30</f>
        <v>Küpsetatud kanakitsuliha peterselliga</v>
      </c>
      <c r="C30" s="192">
        <v>50</v>
      </c>
      <c r="D30" s="192">
        <f>C30*'Teine 44'!D30/'Teine 44'!C30</f>
        <v>99.6</v>
      </c>
      <c r="E30" s="192">
        <f>D30*'Teine 44'!E30/'Teine 44'!D30</f>
        <v>0.67999999999999994</v>
      </c>
      <c r="F30" s="192">
        <f>E30*'Teine 44'!F30/'Teine 44'!E30</f>
        <v>4.2599999999999989</v>
      </c>
      <c r="G30" s="192">
        <f>F30*'Teine 44'!G30/'Teine 44'!F30</f>
        <v>14.459999999999997</v>
      </c>
    </row>
    <row r="31" spans="1:8" ht="15.75" x14ac:dyDescent="0.25">
      <c r="A31" s="64"/>
      <c r="B31" s="216" t="str">
        <f>'Teine 44'!B31</f>
        <v>Kartuli-kruubipuder (G)</v>
      </c>
      <c r="C31" s="192">
        <v>100</v>
      </c>
      <c r="D31" s="192">
        <f>C31*'Teine 44'!D31/'Teine 44'!C31</f>
        <v>115</v>
      </c>
      <c r="E31" s="192">
        <f>D31*'Teine 44'!E31/'Teine 44'!D31</f>
        <v>15.4</v>
      </c>
      <c r="F31" s="192">
        <f>E31*'Teine 44'!F31/'Teine 44'!E31</f>
        <v>4.76</v>
      </c>
      <c r="G31" s="192">
        <f>F31*'Teine 44'!G31/'Teine 44'!F31</f>
        <v>2</v>
      </c>
    </row>
    <row r="32" spans="1:8" ht="15.75" x14ac:dyDescent="0.25">
      <c r="A32" s="56"/>
      <c r="B32" s="216" t="str">
        <f>'Teine 44'!B32</f>
        <v>Tatar, aurutatud</v>
      </c>
      <c r="C32" s="192">
        <v>100</v>
      </c>
      <c r="D32" s="192">
        <f>C32*'Teine 44'!D32/'Teine 44'!C32</f>
        <v>74.975999999999999</v>
      </c>
      <c r="E32" s="192">
        <f>D32*'Teine 44'!E32/'Teine 44'!D32</f>
        <v>17.324000000000002</v>
      </c>
      <c r="F32" s="192">
        <f>E32*'Teine 44'!F32/'Teine 44'!E32</f>
        <v>9.9400000000000002E-2</v>
      </c>
      <c r="G32" s="192">
        <f>F32*'Teine 44'!G32/'Teine 44'!F32</f>
        <v>1.9454</v>
      </c>
    </row>
    <row r="33" spans="1:10" ht="15.75" x14ac:dyDescent="0.25">
      <c r="A33" s="56"/>
      <c r="B33" s="216" t="str">
        <f>'Teine 44'!B33</f>
        <v>Hernes-porgand-mais, aurutatud</v>
      </c>
      <c r="C33" s="192">
        <v>100</v>
      </c>
      <c r="D33" s="192">
        <f>C33*'Teine 44'!D33/'Teine 44'!C33</f>
        <v>58.7</v>
      </c>
      <c r="E33" s="192">
        <f>D33*'Teine 44'!E33/'Teine 44'!D33</f>
        <v>9.4</v>
      </c>
      <c r="F33" s="192">
        <f>E33*'Teine 44'!F33/'Teine 44'!E33</f>
        <v>0.438</v>
      </c>
      <c r="G33" s="192">
        <f>F33*'Teine 44'!G33/'Teine 44'!F33</f>
        <v>2.4</v>
      </c>
    </row>
    <row r="34" spans="1:10" customFormat="1" ht="15.75" x14ac:dyDescent="0.25">
      <c r="A34" s="56"/>
      <c r="B34" s="216" t="str">
        <f>'Teine 44'!B34</f>
        <v>Soe koorekaste (L, G)</v>
      </c>
      <c r="C34" s="192">
        <v>50</v>
      </c>
      <c r="D34" s="192">
        <f>C34*'Teine 44'!D34/'Teine 44'!C34</f>
        <v>72.5</v>
      </c>
      <c r="E34" s="192">
        <f>D34*'Teine 44'!E34/'Teine 44'!D34</f>
        <v>3.47</v>
      </c>
      <c r="F34" s="192">
        <f>E34*'Teine 44'!F34/'Teine 44'!E34</f>
        <v>5.95</v>
      </c>
      <c r="G34" s="192">
        <f>F34*'Teine 44'!G34/'Teine 44'!F34</f>
        <v>1.1499999999999999</v>
      </c>
    </row>
    <row r="35" spans="1:10" customFormat="1" ht="15.75" x14ac:dyDescent="0.25">
      <c r="A35" s="56"/>
      <c r="B35" s="216" t="str">
        <f>'Teine 44'!B35</f>
        <v>Hiina kapsa salat värske kurgi ja tilliga</v>
      </c>
      <c r="C35" s="192">
        <v>50</v>
      </c>
      <c r="D35" s="192">
        <f>C35*'Teine 44'!D35/'Teine 44'!C35</f>
        <v>15.6</v>
      </c>
      <c r="E35" s="192">
        <f>D35*'Teine 44'!E35/'Teine 44'!D35</f>
        <v>3.41</v>
      </c>
      <c r="F35" s="192">
        <f>E35*'Teine 44'!F35/'Teine 44'!E35</f>
        <v>0.91600000000000004</v>
      </c>
      <c r="G35" s="192">
        <f>F35*'Teine 44'!G35/'Teine 44'!F35</f>
        <v>0.63500000000000001</v>
      </c>
    </row>
    <row r="36" spans="1:10" ht="15.75" x14ac:dyDescent="0.25">
      <c r="A36" s="56"/>
      <c r="B36" s="216" t="str">
        <f>'Teine 44'!B36</f>
        <v>Peet, kapsas, brokoli (aurutatud)</v>
      </c>
      <c r="C36" s="192">
        <v>50</v>
      </c>
      <c r="D36" s="192">
        <f>C36*'Teine 44'!D36/'Teine 44'!C36</f>
        <v>33.549999999999997</v>
      </c>
      <c r="E36" s="192">
        <f>D36*'Teine 44'!E36/'Teine 44'!D36</f>
        <v>2.44</v>
      </c>
      <c r="F36" s="192">
        <f>E36*'Teine 44'!F36/'Teine 44'!E36</f>
        <v>2.02</v>
      </c>
      <c r="G36" s="192">
        <f>F36*'Teine 44'!G36/'Teine 44'!F36</f>
        <v>0.85499999999999998</v>
      </c>
      <c r="H36" s="2"/>
      <c r="I36" s="2"/>
      <c r="J36" s="2"/>
    </row>
    <row r="37" spans="1:10" ht="15.75" x14ac:dyDescent="0.25">
      <c r="A37" s="56"/>
      <c r="B37" s="216" t="str">
        <f>'Teine 44'!B37</f>
        <v>Salatikaste</v>
      </c>
      <c r="C37" s="192">
        <v>5</v>
      </c>
      <c r="D37" s="192">
        <f>C37*'Teine 44'!D37/'Teine 44'!C37</f>
        <v>35.25</v>
      </c>
      <c r="E37" s="192">
        <f>D37*'Teine 44'!E37/'Teine 44'!D37</f>
        <v>2.9999999999999995E-2</v>
      </c>
      <c r="F37" s="192">
        <f>E37*'Teine 44'!F37/'Teine 44'!E37</f>
        <v>3.8999999999999995</v>
      </c>
      <c r="G37" s="192">
        <f>F37*'Teine 44'!G37/'Teine 44'!F37</f>
        <v>9.9999999999999985E-3</v>
      </c>
      <c r="H37" s="2"/>
      <c r="I37" s="2"/>
      <c r="J37" s="2"/>
    </row>
    <row r="38" spans="1:10" ht="15.75" x14ac:dyDescent="0.25">
      <c r="A38" s="56"/>
      <c r="B38" s="216" t="str">
        <f>'Teine 44'!B38</f>
        <v>Seemnesegu</v>
      </c>
      <c r="C38" s="192">
        <v>5</v>
      </c>
      <c r="D38" s="192">
        <f>C38*'Teine 44'!D38/'Teine 44'!C38</f>
        <v>30.55</v>
      </c>
      <c r="E38" s="192">
        <f>D38*'Teine 44'!E38/'Teine 44'!D38</f>
        <v>0.71</v>
      </c>
      <c r="F38" s="192">
        <f>E38*'Teine 44'!F38/'Teine 44'!E38</f>
        <v>2.6799999999999997</v>
      </c>
      <c r="G38" s="192">
        <f>F38*'Teine 44'!G38/'Teine 44'!F38</f>
        <v>1.1200000000000001</v>
      </c>
      <c r="H38" s="2"/>
      <c r="I38" s="2"/>
      <c r="J38" s="2"/>
    </row>
    <row r="39" spans="1:10" ht="15.75" x14ac:dyDescent="0.25">
      <c r="A39" s="57"/>
      <c r="B39" s="216" t="str">
        <f>'Teine 44'!B39</f>
        <v>PRIA Piimatooted (piim, keefir) (L)</v>
      </c>
      <c r="C39" s="200">
        <v>100</v>
      </c>
      <c r="D39" s="192"/>
      <c r="E39" s="192"/>
      <c r="F39" s="192"/>
      <c r="G39" s="192"/>
    </row>
    <row r="40" spans="1:10" ht="15.75" x14ac:dyDescent="0.25">
      <c r="A40" s="64"/>
      <c r="B40" s="216" t="str">
        <f>'Teine 44'!B40</f>
        <v>Rukkileiva- ja sepikutoodete valik (G)</v>
      </c>
      <c r="C40" s="192">
        <v>60</v>
      </c>
      <c r="D40" s="192">
        <f>C40*'Teine 44'!D40/'Teine 44'!C40</f>
        <v>138</v>
      </c>
      <c r="E40" s="192">
        <f>D40*'Teine 44'!E40/'Teine 44'!D40</f>
        <v>29.520000000000003</v>
      </c>
      <c r="F40" s="192">
        <f>E40*'Teine 44'!F40/'Teine 44'!E40</f>
        <v>0.99599999999999989</v>
      </c>
      <c r="G40" s="192">
        <f>F40*'Teine 44'!G40/'Teine 44'!F40</f>
        <v>4.7279999999999998</v>
      </c>
    </row>
    <row r="41" spans="1:10" ht="15.75" x14ac:dyDescent="0.25">
      <c r="A41" s="57"/>
      <c r="B41" s="216" t="s">
        <v>125</v>
      </c>
      <c r="C41" s="26">
        <v>100</v>
      </c>
      <c r="D41" s="192">
        <f>C41*'Teine 44'!D41/'Teine 44'!C41</f>
        <v>45.7</v>
      </c>
      <c r="E41" s="192">
        <f>D41*'Teine 44'!E41/'Teine 44'!D41</f>
        <v>10.01</v>
      </c>
      <c r="F41" s="192">
        <f>E41*'Teine 44'!F41/'Teine 44'!E41</f>
        <v>0.3</v>
      </c>
      <c r="G41" s="192">
        <f>F41*'Teine 44'!G41/'Teine 44'!F41</f>
        <v>0.5</v>
      </c>
    </row>
    <row r="42" spans="1:10" ht="15.75" x14ac:dyDescent="0.25">
      <c r="A42" s="69"/>
      <c r="B42" s="206" t="s">
        <v>8</v>
      </c>
      <c r="C42" s="66"/>
      <c r="D42" s="67">
        <f>SUM(D29:D41)</f>
        <v>875.42600000000004</v>
      </c>
      <c r="E42" s="67">
        <f>SUM(E29:E41)</f>
        <v>121.83400000000002</v>
      </c>
      <c r="F42" s="67">
        <f>SUM(F29:F41)</f>
        <v>35.819399999999995</v>
      </c>
      <c r="G42" s="67">
        <f>SUM(G29:G41)</f>
        <v>41.483399999999989</v>
      </c>
    </row>
    <row r="43" spans="1:10" ht="15.75" customHeight="1" x14ac:dyDescent="0.25">
      <c r="A43" s="14" t="s">
        <v>79</v>
      </c>
      <c r="B43" s="12" t="s">
        <v>120</v>
      </c>
      <c r="C43" s="335">
        <v>75</v>
      </c>
      <c r="D43" s="272">
        <v>104.374</v>
      </c>
      <c r="E43" s="272">
        <v>13.263</v>
      </c>
      <c r="F43" s="272">
        <v>3.456</v>
      </c>
      <c r="G43" s="272">
        <v>11.05</v>
      </c>
    </row>
    <row r="44" spans="1:10" customFormat="1" ht="24" customHeight="1" x14ac:dyDescent="0.25">
      <c r="A44" s="68" t="s">
        <v>11</v>
      </c>
      <c r="B44" s="62"/>
      <c r="C44" s="63" t="s">
        <v>2</v>
      </c>
      <c r="D44" s="63" t="s">
        <v>3</v>
      </c>
      <c r="E44" s="63" t="s">
        <v>4</v>
      </c>
      <c r="F44" s="63" t="s">
        <v>5</v>
      </c>
      <c r="G44" s="63" t="s">
        <v>6</v>
      </c>
    </row>
    <row r="45" spans="1:10" ht="15.75" x14ac:dyDescent="0.25">
      <c r="A45" s="64" t="s">
        <v>7</v>
      </c>
      <c r="B45" s="216" t="str">
        <f>'Teine 44'!B45</f>
        <v>Koorene mintaifileesupp lillkapsa ja brokoliga</v>
      </c>
      <c r="C45" s="192">
        <v>150</v>
      </c>
      <c r="D45" s="192">
        <f>C45*'Teine 44'!D45/'Teine 44'!C45</f>
        <v>163.5</v>
      </c>
      <c r="E45" s="192">
        <f>D45*'Teine 44'!E45/'Teine 44'!D45</f>
        <v>13.668000000000001</v>
      </c>
      <c r="F45" s="192">
        <f>E45*'Teine 44'!F45/'Teine 44'!E45</f>
        <v>8.64</v>
      </c>
      <c r="G45" s="192">
        <f>F45*'Teine 44'!G45/'Teine 44'!F45</f>
        <v>4.6380000000000008</v>
      </c>
    </row>
    <row r="46" spans="1:10" ht="15.75" x14ac:dyDescent="0.25">
      <c r="A46" s="64"/>
      <c r="B46" s="216" t="str">
        <f>'Teine 44'!B46</f>
        <v>Köögiviljasupp sealihaga</v>
      </c>
      <c r="C46" s="192">
        <v>150</v>
      </c>
      <c r="D46" s="192">
        <f>C46*'Teine 44'!D46/'Teine 44'!C46</f>
        <v>136.19999999999999</v>
      </c>
      <c r="E46" s="192">
        <f>D46*'Teine 44'!E46/'Teine 44'!D46</f>
        <v>7.05</v>
      </c>
      <c r="F46" s="192">
        <f>E46*'Teine 44'!F46/'Teine 44'!E46</f>
        <v>6.3780000000000001</v>
      </c>
      <c r="G46" s="192">
        <f>F46*'Teine 44'!G46/'Teine 44'!F46</f>
        <v>5.2379999999999995</v>
      </c>
    </row>
    <row r="47" spans="1:10" ht="15.75" x14ac:dyDescent="0.25">
      <c r="A47" s="57"/>
      <c r="B47" s="216" t="str">
        <f>'Teine 44'!B47</f>
        <v>Apelsinitarretis vahukoorega (L)</v>
      </c>
      <c r="C47" s="200">
        <v>160</v>
      </c>
      <c r="D47" s="192">
        <f>C47*'Teine 44'!D47/'Teine 44'!C47</f>
        <v>180.8</v>
      </c>
      <c r="E47" s="192">
        <f>D47*'Teine 44'!E47/'Teine 44'!D47</f>
        <v>20.64</v>
      </c>
      <c r="F47" s="192">
        <f>E47*'Teine 44'!F47/'Teine 44'!E47</f>
        <v>6.14</v>
      </c>
      <c r="G47" s="192">
        <f>F47*'Teine 44'!G47/'Teine 44'!F47</f>
        <v>3.9519999999999995</v>
      </c>
    </row>
    <row r="48" spans="1:10" s="6" customFormat="1" ht="14.25" customHeight="1" x14ac:dyDescent="0.25">
      <c r="A48" s="56"/>
      <c r="B48" s="216" t="str">
        <f>'Teine 44'!B48</f>
        <v>PRIA Piimatooted (piim, keefir) (L)</v>
      </c>
      <c r="C48" s="192">
        <v>100</v>
      </c>
      <c r="D48" s="192"/>
      <c r="E48" s="192"/>
      <c r="F48" s="192"/>
      <c r="G48" s="192"/>
    </row>
    <row r="49" spans="1:12" ht="15.75" x14ac:dyDescent="0.25">
      <c r="A49" s="56"/>
      <c r="B49" s="216" t="str">
        <f>'Teine 44'!B49</f>
        <v>Rukkileiva- ja sepikutoodete valik (G)</v>
      </c>
      <c r="C49" s="255">
        <v>60</v>
      </c>
      <c r="D49" s="192">
        <f>C49*'Teine 44'!D49/'Teine 44'!C49</f>
        <v>138</v>
      </c>
      <c r="E49" s="192">
        <f>D49*'Teine 44'!E49/'Teine 44'!D49</f>
        <v>29.520000000000003</v>
      </c>
      <c r="F49" s="192">
        <f>E49*'Teine 44'!F49/'Teine 44'!E49</f>
        <v>0.99599999999999989</v>
      </c>
      <c r="G49" s="192">
        <f>F49*'Teine 44'!G49/'Teine 44'!F49</f>
        <v>4.7279999999999998</v>
      </c>
    </row>
    <row r="50" spans="1:12" ht="15.75" x14ac:dyDescent="0.25">
      <c r="A50" s="56"/>
      <c r="B50" s="216" t="s">
        <v>134</v>
      </c>
      <c r="C50" s="26">
        <v>100</v>
      </c>
      <c r="D50" s="192">
        <f>C50*'Teine 44'!D50/'Teine 44'!C50</f>
        <v>27.3</v>
      </c>
      <c r="E50" s="192">
        <f>D50*'Teine 44'!E50/'Teine 44'!D50</f>
        <v>4.24</v>
      </c>
      <c r="F50" s="192">
        <f>E50*'Teine 44'!F50/'Teine 44'!E50</f>
        <v>0.2</v>
      </c>
      <c r="G50" s="192">
        <f>F50*'Teine 44'!G50/'Teine 44'!F50</f>
        <v>1.1299999999999999</v>
      </c>
    </row>
    <row r="51" spans="1:12" ht="15.75" x14ac:dyDescent="0.25">
      <c r="A51" s="65"/>
      <c r="B51" s="206" t="s">
        <v>8</v>
      </c>
      <c r="C51" s="178"/>
      <c r="D51" s="157">
        <f>SUM(D45:D49)</f>
        <v>618.5</v>
      </c>
      <c r="E51" s="157">
        <f>SUM(E45:E49)</f>
        <v>70.878000000000014</v>
      </c>
      <c r="F51" s="157">
        <f>SUM(F45:F49)</f>
        <v>22.154</v>
      </c>
      <c r="G51" s="157">
        <f>SUM(G45:G49)</f>
        <v>18.556000000000001</v>
      </c>
    </row>
    <row r="52" spans="1:12" ht="15.75" customHeight="1" x14ac:dyDescent="0.25">
      <c r="A52" s="14" t="s">
        <v>79</v>
      </c>
      <c r="B52" s="12" t="s">
        <v>91</v>
      </c>
      <c r="C52" s="314">
        <v>300</v>
      </c>
      <c r="D52" s="262">
        <f>1.2*200.25</f>
        <v>240.29999999999998</v>
      </c>
      <c r="E52" s="262">
        <f>1.2*27.6</f>
        <v>33.119999999999997</v>
      </c>
      <c r="F52" s="262">
        <f>1.2*4.3</f>
        <v>5.1599999999999993</v>
      </c>
      <c r="G52" s="262">
        <f>1.2*6.675</f>
        <v>8.01</v>
      </c>
    </row>
    <row r="53" spans="1:12" customFormat="1" ht="24.75" customHeight="1" x14ac:dyDescent="0.25">
      <c r="A53" s="68" t="s">
        <v>12</v>
      </c>
      <c r="B53" s="62"/>
      <c r="C53" s="63" t="s">
        <v>2</v>
      </c>
      <c r="D53" s="63" t="s">
        <v>3</v>
      </c>
      <c r="E53" s="63" t="s">
        <v>4</v>
      </c>
      <c r="F53" s="63" t="s">
        <v>5</v>
      </c>
      <c r="G53" s="63" t="s">
        <v>6</v>
      </c>
    </row>
    <row r="54" spans="1:12" ht="15.75" x14ac:dyDescent="0.25">
      <c r="A54" s="64" t="s">
        <v>7</v>
      </c>
      <c r="B54" s="91" t="str">
        <f>'Teine 44'!B54</f>
        <v>Kurzeme strooganov (G, L)</v>
      </c>
      <c r="C54" s="192">
        <v>150</v>
      </c>
      <c r="D54" s="192">
        <f>C54*'Teine 44'!D54/'Teine 44'!C54</f>
        <v>273.77142857142854</v>
      </c>
      <c r="E54" s="192">
        <f>D54*'Teine 44'!E54/'Teine 44'!D54</f>
        <v>21.171428571428571</v>
      </c>
      <c r="F54" s="192">
        <f>E54*'Teine 44'!F54/'Teine 44'!E54</f>
        <v>15.964285714285714</v>
      </c>
      <c r="G54" s="192">
        <f>F54*'Teine 44'!G54/'Teine 44'!F54</f>
        <v>8.4214285714285708</v>
      </c>
    </row>
    <row r="55" spans="1:12" ht="15.75" x14ac:dyDescent="0.25">
      <c r="A55" s="64"/>
      <c r="B55" s="91" t="str">
        <f>'Teine 44'!B55</f>
        <v>Värskekapsa-hakklihahautis</v>
      </c>
      <c r="C55" s="192">
        <v>150</v>
      </c>
      <c r="D55" s="192">
        <f>C55*'Teine 44'!D55/'Teine 44'!C55</f>
        <v>268.5</v>
      </c>
      <c r="E55" s="192">
        <f>D55*'Teine 44'!E55/'Teine 44'!D55</f>
        <v>32.978571428571428</v>
      </c>
      <c r="F55" s="192">
        <f>E55*'Teine 44'!F55/'Teine 44'!E55</f>
        <v>11.003571428571426</v>
      </c>
      <c r="G55" s="192">
        <f>F55*'Teine 44'!G55/'Teine 44'!F55</f>
        <v>7.1571428571428557</v>
      </c>
    </row>
    <row r="56" spans="1:12" ht="15.75" x14ac:dyDescent="0.25">
      <c r="A56" s="64"/>
      <c r="B56" s="91" t="str">
        <f>'Teine 44'!B56</f>
        <v>Ahjukartulid ürtidega</v>
      </c>
      <c r="C56" s="192">
        <v>100</v>
      </c>
      <c r="D56" s="192">
        <f>C56*'Teine 44'!D56/'Teine 44'!C56</f>
        <v>120.274</v>
      </c>
      <c r="E56" s="192">
        <f>D56*'Teine 44'!E56/'Teine 44'!D56</f>
        <v>24.068999999999999</v>
      </c>
      <c r="F56" s="192">
        <f>E56*'Teine 44'!F56/'Teine 44'!E56</f>
        <v>3.4931999999999994</v>
      </c>
      <c r="G56" s="192">
        <f>F56*'Teine 44'!G56/'Teine 44'!F56</f>
        <v>2.5133999999999994</v>
      </c>
    </row>
    <row r="57" spans="1:12" ht="15.75" x14ac:dyDescent="0.25">
      <c r="A57" s="64"/>
      <c r="B57" s="91" t="str">
        <f>'Teine 44'!B57</f>
        <v>Riis, aurutatud</v>
      </c>
      <c r="C57" s="192">
        <v>100</v>
      </c>
      <c r="D57" s="192">
        <f>C57*'Teine 44'!D57/'Teine 44'!C57</f>
        <v>129.22</v>
      </c>
      <c r="E57" s="192">
        <f>D57*'Teine 44'!E57/'Teine 44'!D57</f>
        <v>28.62</v>
      </c>
      <c r="F57" s="192">
        <f>E57*'Teine 44'!F57/'Teine 44'!E57</f>
        <v>0.254</v>
      </c>
      <c r="G57" s="192">
        <f>F57*'Teine 44'!G57/'Teine 44'!F57</f>
        <v>2.9394</v>
      </c>
    </row>
    <row r="58" spans="1:12" ht="15.75" x14ac:dyDescent="0.25">
      <c r="A58" s="57"/>
      <c r="B58" s="91" t="str">
        <f>'Teine 44'!B58</f>
        <v>Bulgur, keedetud (G)</v>
      </c>
      <c r="C58" s="192">
        <v>100</v>
      </c>
      <c r="D58" s="192">
        <f>C58*'Teine 44'!D58/'Teine 44'!C58</f>
        <v>122</v>
      </c>
      <c r="E58" s="192">
        <f>D58*'Teine 44'!E58/'Teine 44'!D58</f>
        <v>23.5</v>
      </c>
      <c r="F58" s="192">
        <f>E58*'Teine 44'!F58/'Teine 44'!E58</f>
        <v>0.79100000000000004</v>
      </c>
      <c r="G58" s="192">
        <f>F58*'Teine 44'!G58/'Teine 44'!F58</f>
        <v>4.0599999999999996</v>
      </c>
      <c r="H58" s="2"/>
      <c r="I58" s="2"/>
      <c r="J58" s="2"/>
    </row>
    <row r="59" spans="1:12" ht="15.75" x14ac:dyDescent="0.25">
      <c r="A59" s="57"/>
      <c r="B59" s="91" t="str">
        <f>'Teine 44'!B59</f>
        <v>Kapsa-juurselleri-õunasalat</v>
      </c>
      <c r="C59" s="192">
        <v>50</v>
      </c>
      <c r="D59" s="192">
        <f>C59*'Teine 44'!D59/'Teine 44'!C59</f>
        <v>25.6</v>
      </c>
      <c r="E59" s="192">
        <f>D59*'Teine 44'!E59/'Teine 44'!D59</f>
        <v>6.99</v>
      </c>
      <c r="F59" s="192">
        <f>E59*'Teine 44'!F59/'Teine 44'!E59</f>
        <v>2.1</v>
      </c>
      <c r="G59" s="192">
        <f>F59*'Teine 44'!G59/'Teine 44'!F59</f>
        <v>1.03</v>
      </c>
    </row>
    <row r="60" spans="1:12" ht="15.75" x14ac:dyDescent="0.25">
      <c r="A60" s="57"/>
      <c r="B60" s="91" t="str">
        <f>'Teine 44'!B60</f>
        <v>Porgand, punane sibul, rohelised herned</v>
      </c>
      <c r="C60" s="192">
        <v>50</v>
      </c>
      <c r="D60" s="192">
        <f>C60*'Teine 44'!D60/'Teine 44'!C60</f>
        <v>40.049999999999997</v>
      </c>
      <c r="E60" s="192">
        <f>D60*'Teine 44'!E60/'Teine 44'!D60</f>
        <v>4.6349999999999998</v>
      </c>
      <c r="F60" s="192">
        <f>E60*'Teine 44'!F60/'Teine 44'!E60</f>
        <v>1.1599999999999999</v>
      </c>
      <c r="G60" s="192">
        <f>F60*'Teine 44'!G60/'Teine 44'!F60</f>
        <v>1.57</v>
      </c>
    </row>
    <row r="61" spans="1:12" ht="15.75" x14ac:dyDescent="0.25">
      <c r="A61" s="57"/>
      <c r="B61" s="91" t="str">
        <f>'Teine 44'!B61</f>
        <v>Salatikaste</v>
      </c>
      <c r="C61" s="192">
        <v>5</v>
      </c>
      <c r="D61" s="192">
        <f>C61*'Teine 44'!D61/'Teine 44'!C61</f>
        <v>35.25</v>
      </c>
      <c r="E61" s="192">
        <f>D61*'Teine 44'!E61/'Teine 44'!D61</f>
        <v>2.9999999999999995E-2</v>
      </c>
      <c r="F61" s="192">
        <f>E61*'Teine 44'!F61/'Teine 44'!E61</f>
        <v>3.8999999999999995</v>
      </c>
      <c r="G61" s="192">
        <f>F61*'Teine 44'!G61/'Teine 44'!F61</f>
        <v>9.9999999999999985E-3</v>
      </c>
    </row>
    <row r="62" spans="1:12" ht="15.75" x14ac:dyDescent="0.25">
      <c r="A62" s="56"/>
      <c r="B62" s="91" t="str">
        <f>'Teine 44'!B62</f>
        <v>Seemnesegu</v>
      </c>
      <c r="C62" s="200">
        <v>5</v>
      </c>
      <c r="D62" s="192">
        <f>C62*'Teine 44'!D62/'Teine 44'!C62</f>
        <v>30.549950000000003</v>
      </c>
      <c r="E62" s="192">
        <f>D62*'Teine 44'!E62/'Teine 44'!D62</f>
        <v>0.70995000000000008</v>
      </c>
      <c r="F62" s="192">
        <f>E62*'Teine 44'!F62/'Teine 44'!E62</f>
        <v>2.6799500000000003</v>
      </c>
      <c r="G62" s="192">
        <f>F62*'Teine 44'!G62/'Teine 44'!F62</f>
        <v>1.1199500000000002</v>
      </c>
      <c r="H62" s="2"/>
      <c r="I62" s="2"/>
      <c r="J62" s="2"/>
      <c r="K62" s="2"/>
      <c r="L62" s="2"/>
    </row>
    <row r="63" spans="1:12" ht="15.75" x14ac:dyDescent="0.25">
      <c r="A63" s="57"/>
      <c r="B63" s="91" t="str">
        <f>'Teine 44'!B63</f>
        <v>PRIA Piimatooted (piim, keefir) (L)</v>
      </c>
      <c r="C63" s="192">
        <v>100</v>
      </c>
      <c r="D63" s="192"/>
      <c r="E63" s="192"/>
      <c r="F63" s="192"/>
      <c r="G63" s="192"/>
    </row>
    <row r="64" spans="1:12" ht="15.75" x14ac:dyDescent="0.25">
      <c r="A64" s="57"/>
      <c r="B64" s="91" t="str">
        <f>'Teine 44'!B64</f>
        <v>Kakaojook (L)</v>
      </c>
      <c r="C64" s="192">
        <v>100</v>
      </c>
      <c r="D64" s="192">
        <f>C64*'Teine 44'!D64/'Teine 44'!C64</f>
        <v>107</v>
      </c>
      <c r="E64" s="192">
        <f>D64*'Teine 44'!E64/'Teine 44'!D64</f>
        <v>15.7</v>
      </c>
      <c r="F64" s="192">
        <f>E64*'Teine 44'!F64/'Teine 44'!E64</f>
        <v>3.13</v>
      </c>
      <c r="G64" s="192">
        <f>F64*'Teine 44'!G64/'Teine 44'!F64</f>
        <v>3.66</v>
      </c>
    </row>
    <row r="65" spans="1:7" ht="15.75" x14ac:dyDescent="0.25">
      <c r="A65" s="56"/>
      <c r="B65" s="91" t="str">
        <f>'Teine 44'!B65</f>
        <v>Rukkileiva- ja sepikutoodete valik (G)</v>
      </c>
      <c r="C65" s="192">
        <v>60</v>
      </c>
      <c r="D65" s="192">
        <f>C65*'Teine 44'!D65/'Teine 44'!C65</f>
        <v>138</v>
      </c>
      <c r="E65" s="192">
        <f>D65*'Teine 44'!E65/'Teine 44'!D65</f>
        <v>29.520000000000003</v>
      </c>
      <c r="F65" s="192">
        <f>E65*'Teine 44'!F65/'Teine 44'!E65</f>
        <v>0.99599999999999989</v>
      </c>
      <c r="G65" s="192">
        <f>F65*'Teine 44'!G65/'Teine 44'!F65</f>
        <v>4.7279999999999998</v>
      </c>
    </row>
    <row r="66" spans="1:7" ht="15.75" x14ac:dyDescent="0.25">
      <c r="A66" s="56"/>
      <c r="B66" s="91" t="s">
        <v>131</v>
      </c>
      <c r="C66" s="13">
        <v>100</v>
      </c>
      <c r="D66" s="192">
        <f>C66*'Teine 44'!D66/'Teine 44'!C66</f>
        <v>46.4</v>
      </c>
      <c r="E66" s="192">
        <f>D66*'Teine 44'!E66/'Teine 44'!D66</f>
        <v>10.02</v>
      </c>
      <c r="F66" s="192">
        <f>E66*'Teine 44'!F66/'Teine 44'!E66</f>
        <v>0</v>
      </c>
      <c r="G66" s="192">
        <v>0.3</v>
      </c>
    </row>
    <row r="67" spans="1:7" ht="15.75" x14ac:dyDescent="0.25">
      <c r="A67" s="69"/>
      <c r="B67" s="317" t="s">
        <v>8</v>
      </c>
      <c r="C67" s="326"/>
      <c r="D67" s="239">
        <f>SUM(D54:D65)</f>
        <v>1290.2153785714286</v>
      </c>
      <c r="E67" s="239">
        <f>SUM(E54:E65)</f>
        <v>187.92394999999999</v>
      </c>
      <c r="F67" s="239">
        <f>SUM(F54:F65)</f>
        <v>45.472007142857137</v>
      </c>
      <c r="G67" s="180">
        <f>SUM(G54:G65)</f>
        <v>37.209321428571428</v>
      </c>
    </row>
    <row r="68" spans="1:7" ht="16.5" customHeight="1" x14ac:dyDescent="0.25">
      <c r="A68" s="315" t="s">
        <v>79</v>
      </c>
      <c r="B68" s="308" t="s">
        <v>135</v>
      </c>
      <c r="C68" s="313">
        <v>150</v>
      </c>
      <c r="D68" s="274">
        <f>1.07*169.89</f>
        <v>181.78229999999999</v>
      </c>
      <c r="E68" s="274">
        <f>1.07*11.235</f>
        <v>12.02145</v>
      </c>
      <c r="F68" s="274">
        <f>1.07*10.05</f>
        <v>10.753500000000001</v>
      </c>
      <c r="G68" s="274">
        <f>1.07*5.52</f>
        <v>5.9063999999999997</v>
      </c>
    </row>
    <row r="69" spans="1:7" ht="15.75" x14ac:dyDescent="0.25">
      <c r="A69" s="12"/>
      <c r="B69" s="16" t="s">
        <v>13</v>
      </c>
      <c r="C69" s="12"/>
      <c r="D69" s="44">
        <f>AVERAGE(D16,D26,D42,D51,D67)</f>
        <v>860.00249000000008</v>
      </c>
      <c r="E69" s="44">
        <f>AVERAGE(E16,E26,E42,E51,E67)</f>
        <v>122.14487571428572</v>
      </c>
      <c r="F69" s="44">
        <f>AVERAGE(F16,F26,F42,F51,F67)</f>
        <v>29.700938571428566</v>
      </c>
      <c r="G69" s="44">
        <f>AVERAGE(G16,G26,G42,G51,G67)</f>
        <v>31.891658571428572</v>
      </c>
    </row>
    <row r="70" spans="1:7" ht="15.75" x14ac:dyDescent="0.25">
      <c r="A70" s="303" t="s">
        <v>84</v>
      </c>
      <c r="B70" s="304"/>
      <c r="C70" s="12"/>
      <c r="D70" s="12"/>
      <c r="E70" s="12"/>
      <c r="F70" s="12"/>
      <c r="G70" s="12"/>
    </row>
    <row r="71" spans="1:7" ht="15.75" x14ac:dyDescent="0.25">
      <c r="A71" s="12" t="s">
        <v>60</v>
      </c>
      <c r="B71" s="12"/>
      <c r="C71" s="11" t="s">
        <v>62</v>
      </c>
      <c r="D71" s="10"/>
      <c r="E71" s="10"/>
      <c r="F71" s="12"/>
      <c r="G71" s="12"/>
    </row>
    <row r="72" spans="1:7" ht="15.75" x14ac:dyDescent="0.25">
      <c r="A72" s="12"/>
      <c r="B72" s="12"/>
      <c r="C72" s="12"/>
      <c r="D72" s="12"/>
      <c r="E72" s="12"/>
      <c r="F72" s="12"/>
      <c r="G72" s="12"/>
    </row>
  </sheetData>
  <pageMargins left="0.7" right="0.7" top="0.75" bottom="0.75" header="0.3" footer="0.3"/>
  <pageSetup paperSize="9" scale="6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51C9C-7EFE-462E-9D1B-C9CDD7344C2C}">
  <sheetPr>
    <pageSetUpPr fitToPage="1"/>
  </sheetPr>
  <dimension ref="A1:I70"/>
  <sheetViews>
    <sheetView zoomScale="80" zoomScaleNormal="80" workbookViewId="0">
      <selection activeCell="N34" sqref="N34"/>
    </sheetView>
  </sheetViews>
  <sheetFormatPr defaultRowHeight="15.75" x14ac:dyDescent="0.25"/>
  <cols>
    <col min="1" max="1" width="27.28515625" style="9" customWidth="1"/>
    <col min="2" max="2" width="51.7109375" style="10" customWidth="1"/>
    <col min="3" max="3" width="11.7109375" style="10" customWidth="1"/>
    <col min="4" max="4" width="13.7109375" style="10" customWidth="1"/>
    <col min="5" max="5" width="14.7109375" style="10" bestFit="1" customWidth="1"/>
    <col min="6" max="6" width="11.28515625" style="10" customWidth="1"/>
    <col min="7" max="7" width="10.7109375" style="10" customWidth="1"/>
    <col min="8" max="257" width="8.7109375" style="9"/>
    <col min="258" max="258" width="37.7109375" style="9" customWidth="1"/>
    <col min="259" max="260" width="14.28515625" style="9" customWidth="1"/>
    <col min="261" max="261" width="13.5703125" style="9" customWidth="1"/>
    <col min="262" max="262" width="15.7109375" style="9" customWidth="1"/>
    <col min="263" max="263" width="15.5703125" style="9" customWidth="1"/>
    <col min="264" max="513" width="8.7109375" style="9"/>
    <col min="514" max="514" width="37.7109375" style="9" customWidth="1"/>
    <col min="515" max="516" width="14.28515625" style="9" customWidth="1"/>
    <col min="517" max="517" width="13.5703125" style="9" customWidth="1"/>
    <col min="518" max="518" width="15.7109375" style="9" customWidth="1"/>
    <col min="519" max="519" width="15.5703125" style="9" customWidth="1"/>
    <col min="520" max="769" width="8.7109375" style="9"/>
    <col min="770" max="770" width="37.7109375" style="9" customWidth="1"/>
    <col min="771" max="772" width="14.28515625" style="9" customWidth="1"/>
    <col min="773" max="773" width="13.5703125" style="9" customWidth="1"/>
    <col min="774" max="774" width="15.7109375" style="9" customWidth="1"/>
    <col min="775" max="775" width="15.5703125" style="9" customWidth="1"/>
    <col min="776" max="1025" width="8.7109375" style="9"/>
    <col min="1026" max="1026" width="37.7109375" style="9" customWidth="1"/>
    <col min="1027" max="1028" width="14.28515625" style="9" customWidth="1"/>
    <col min="1029" max="1029" width="13.5703125" style="9" customWidth="1"/>
    <col min="1030" max="1030" width="15.7109375" style="9" customWidth="1"/>
    <col min="1031" max="1031" width="15.5703125" style="9" customWidth="1"/>
    <col min="1032" max="1281" width="8.7109375" style="9"/>
    <col min="1282" max="1282" width="37.7109375" style="9" customWidth="1"/>
    <col min="1283" max="1284" width="14.28515625" style="9" customWidth="1"/>
    <col min="1285" max="1285" width="13.5703125" style="9" customWidth="1"/>
    <col min="1286" max="1286" width="15.7109375" style="9" customWidth="1"/>
    <col min="1287" max="1287" width="15.5703125" style="9" customWidth="1"/>
    <col min="1288" max="1537" width="8.7109375" style="9"/>
    <col min="1538" max="1538" width="37.7109375" style="9" customWidth="1"/>
    <col min="1539" max="1540" width="14.28515625" style="9" customWidth="1"/>
    <col min="1541" max="1541" width="13.5703125" style="9" customWidth="1"/>
    <col min="1542" max="1542" width="15.7109375" style="9" customWidth="1"/>
    <col min="1543" max="1543" width="15.5703125" style="9" customWidth="1"/>
    <col min="1544" max="1793" width="8.7109375" style="9"/>
    <col min="1794" max="1794" width="37.7109375" style="9" customWidth="1"/>
    <col min="1795" max="1796" width="14.28515625" style="9" customWidth="1"/>
    <col min="1797" max="1797" width="13.5703125" style="9" customWidth="1"/>
    <col min="1798" max="1798" width="15.7109375" style="9" customWidth="1"/>
    <col min="1799" max="1799" width="15.5703125" style="9" customWidth="1"/>
    <col min="1800" max="2049" width="8.7109375" style="9"/>
    <col min="2050" max="2050" width="37.7109375" style="9" customWidth="1"/>
    <col min="2051" max="2052" width="14.28515625" style="9" customWidth="1"/>
    <col min="2053" max="2053" width="13.5703125" style="9" customWidth="1"/>
    <col min="2054" max="2054" width="15.7109375" style="9" customWidth="1"/>
    <col min="2055" max="2055" width="15.5703125" style="9" customWidth="1"/>
    <col min="2056" max="2305" width="8.7109375" style="9"/>
    <col min="2306" max="2306" width="37.7109375" style="9" customWidth="1"/>
    <col min="2307" max="2308" width="14.28515625" style="9" customWidth="1"/>
    <col min="2309" max="2309" width="13.5703125" style="9" customWidth="1"/>
    <col min="2310" max="2310" width="15.7109375" style="9" customWidth="1"/>
    <col min="2311" max="2311" width="15.5703125" style="9" customWidth="1"/>
    <col min="2312" max="2561" width="8.7109375" style="9"/>
    <col min="2562" max="2562" width="37.7109375" style="9" customWidth="1"/>
    <col min="2563" max="2564" width="14.28515625" style="9" customWidth="1"/>
    <col min="2565" max="2565" width="13.5703125" style="9" customWidth="1"/>
    <col min="2566" max="2566" width="15.7109375" style="9" customWidth="1"/>
    <col min="2567" max="2567" width="15.5703125" style="9" customWidth="1"/>
    <col min="2568" max="2817" width="8.7109375" style="9"/>
    <col min="2818" max="2818" width="37.7109375" style="9" customWidth="1"/>
    <col min="2819" max="2820" width="14.28515625" style="9" customWidth="1"/>
    <col min="2821" max="2821" width="13.5703125" style="9" customWidth="1"/>
    <col min="2822" max="2822" width="15.7109375" style="9" customWidth="1"/>
    <col min="2823" max="2823" width="15.5703125" style="9" customWidth="1"/>
    <col min="2824" max="3073" width="8.7109375" style="9"/>
    <col min="3074" max="3074" width="37.7109375" style="9" customWidth="1"/>
    <col min="3075" max="3076" width="14.28515625" style="9" customWidth="1"/>
    <col min="3077" max="3077" width="13.5703125" style="9" customWidth="1"/>
    <col min="3078" max="3078" width="15.7109375" style="9" customWidth="1"/>
    <col min="3079" max="3079" width="15.5703125" style="9" customWidth="1"/>
    <col min="3080" max="3329" width="8.7109375" style="9"/>
    <col min="3330" max="3330" width="37.7109375" style="9" customWidth="1"/>
    <col min="3331" max="3332" width="14.28515625" style="9" customWidth="1"/>
    <col min="3333" max="3333" width="13.5703125" style="9" customWidth="1"/>
    <col min="3334" max="3334" width="15.7109375" style="9" customWidth="1"/>
    <col min="3335" max="3335" width="15.5703125" style="9" customWidth="1"/>
    <col min="3336" max="3585" width="8.7109375" style="9"/>
    <col min="3586" max="3586" width="37.7109375" style="9" customWidth="1"/>
    <col min="3587" max="3588" width="14.28515625" style="9" customWidth="1"/>
    <col min="3589" max="3589" width="13.5703125" style="9" customWidth="1"/>
    <col min="3590" max="3590" width="15.7109375" style="9" customWidth="1"/>
    <col min="3591" max="3591" width="15.5703125" style="9" customWidth="1"/>
    <col min="3592" max="3841" width="8.7109375" style="9"/>
    <col min="3842" max="3842" width="37.7109375" style="9" customWidth="1"/>
    <col min="3843" max="3844" width="14.28515625" style="9" customWidth="1"/>
    <col min="3845" max="3845" width="13.5703125" style="9" customWidth="1"/>
    <col min="3846" max="3846" width="15.7109375" style="9" customWidth="1"/>
    <col min="3847" max="3847" width="15.5703125" style="9" customWidth="1"/>
    <col min="3848" max="4097" width="8.7109375" style="9"/>
    <col min="4098" max="4098" width="37.7109375" style="9" customWidth="1"/>
    <col min="4099" max="4100" width="14.28515625" style="9" customWidth="1"/>
    <col min="4101" max="4101" width="13.5703125" style="9" customWidth="1"/>
    <col min="4102" max="4102" width="15.7109375" style="9" customWidth="1"/>
    <col min="4103" max="4103" width="15.5703125" style="9" customWidth="1"/>
    <col min="4104" max="4353" width="8.7109375" style="9"/>
    <col min="4354" max="4354" width="37.7109375" style="9" customWidth="1"/>
    <col min="4355" max="4356" width="14.28515625" style="9" customWidth="1"/>
    <col min="4357" max="4357" width="13.5703125" style="9" customWidth="1"/>
    <col min="4358" max="4358" width="15.7109375" style="9" customWidth="1"/>
    <col min="4359" max="4359" width="15.5703125" style="9" customWidth="1"/>
    <col min="4360" max="4609" width="8.7109375" style="9"/>
    <col min="4610" max="4610" width="37.7109375" style="9" customWidth="1"/>
    <col min="4611" max="4612" width="14.28515625" style="9" customWidth="1"/>
    <col min="4613" max="4613" width="13.5703125" style="9" customWidth="1"/>
    <col min="4614" max="4614" width="15.7109375" style="9" customWidth="1"/>
    <col min="4615" max="4615" width="15.5703125" style="9" customWidth="1"/>
    <col min="4616" max="4865" width="8.7109375" style="9"/>
    <col min="4866" max="4866" width="37.7109375" style="9" customWidth="1"/>
    <col min="4867" max="4868" width="14.28515625" style="9" customWidth="1"/>
    <col min="4869" max="4869" width="13.5703125" style="9" customWidth="1"/>
    <col min="4870" max="4870" width="15.7109375" style="9" customWidth="1"/>
    <col min="4871" max="4871" width="15.5703125" style="9" customWidth="1"/>
    <col min="4872" max="5121" width="8.7109375" style="9"/>
    <col min="5122" max="5122" width="37.7109375" style="9" customWidth="1"/>
    <col min="5123" max="5124" width="14.28515625" style="9" customWidth="1"/>
    <col min="5125" max="5125" width="13.5703125" style="9" customWidth="1"/>
    <col min="5126" max="5126" width="15.7109375" style="9" customWidth="1"/>
    <col min="5127" max="5127" width="15.5703125" style="9" customWidth="1"/>
    <col min="5128" max="5377" width="8.7109375" style="9"/>
    <col min="5378" max="5378" width="37.7109375" style="9" customWidth="1"/>
    <col min="5379" max="5380" width="14.28515625" style="9" customWidth="1"/>
    <col min="5381" max="5381" width="13.5703125" style="9" customWidth="1"/>
    <col min="5382" max="5382" width="15.7109375" style="9" customWidth="1"/>
    <col min="5383" max="5383" width="15.5703125" style="9" customWidth="1"/>
    <col min="5384" max="5633" width="8.7109375" style="9"/>
    <col min="5634" max="5634" width="37.7109375" style="9" customWidth="1"/>
    <col min="5635" max="5636" width="14.28515625" style="9" customWidth="1"/>
    <col min="5637" max="5637" width="13.5703125" style="9" customWidth="1"/>
    <col min="5638" max="5638" width="15.7109375" style="9" customWidth="1"/>
    <col min="5639" max="5639" width="15.5703125" style="9" customWidth="1"/>
    <col min="5640" max="5889" width="8.7109375" style="9"/>
    <col min="5890" max="5890" width="37.7109375" style="9" customWidth="1"/>
    <col min="5891" max="5892" width="14.28515625" style="9" customWidth="1"/>
    <col min="5893" max="5893" width="13.5703125" style="9" customWidth="1"/>
    <col min="5894" max="5894" width="15.7109375" style="9" customWidth="1"/>
    <col min="5895" max="5895" width="15.5703125" style="9" customWidth="1"/>
    <col min="5896" max="6145" width="8.7109375" style="9"/>
    <col min="6146" max="6146" width="37.7109375" style="9" customWidth="1"/>
    <col min="6147" max="6148" width="14.28515625" style="9" customWidth="1"/>
    <col min="6149" max="6149" width="13.5703125" style="9" customWidth="1"/>
    <col min="6150" max="6150" width="15.7109375" style="9" customWidth="1"/>
    <col min="6151" max="6151" width="15.5703125" style="9" customWidth="1"/>
    <col min="6152" max="6401" width="8.7109375" style="9"/>
    <col min="6402" max="6402" width="37.7109375" style="9" customWidth="1"/>
    <col min="6403" max="6404" width="14.28515625" style="9" customWidth="1"/>
    <col min="6405" max="6405" width="13.5703125" style="9" customWidth="1"/>
    <col min="6406" max="6406" width="15.7109375" style="9" customWidth="1"/>
    <col min="6407" max="6407" width="15.5703125" style="9" customWidth="1"/>
    <col min="6408" max="6657" width="8.7109375" style="9"/>
    <col min="6658" max="6658" width="37.7109375" style="9" customWidth="1"/>
    <col min="6659" max="6660" width="14.28515625" style="9" customWidth="1"/>
    <col min="6661" max="6661" width="13.5703125" style="9" customWidth="1"/>
    <col min="6662" max="6662" width="15.7109375" style="9" customWidth="1"/>
    <col min="6663" max="6663" width="15.5703125" style="9" customWidth="1"/>
    <col min="6664" max="6913" width="8.7109375" style="9"/>
    <col min="6914" max="6914" width="37.7109375" style="9" customWidth="1"/>
    <col min="6915" max="6916" width="14.28515625" style="9" customWidth="1"/>
    <col min="6917" max="6917" width="13.5703125" style="9" customWidth="1"/>
    <col min="6918" max="6918" width="15.7109375" style="9" customWidth="1"/>
    <col min="6919" max="6919" width="15.5703125" style="9" customWidth="1"/>
    <col min="6920" max="7169" width="8.7109375" style="9"/>
    <col min="7170" max="7170" width="37.7109375" style="9" customWidth="1"/>
    <col min="7171" max="7172" width="14.28515625" style="9" customWidth="1"/>
    <col min="7173" max="7173" width="13.5703125" style="9" customWidth="1"/>
    <col min="7174" max="7174" width="15.7109375" style="9" customWidth="1"/>
    <col min="7175" max="7175" width="15.5703125" style="9" customWidth="1"/>
    <col min="7176" max="7425" width="8.7109375" style="9"/>
    <col min="7426" max="7426" width="37.7109375" style="9" customWidth="1"/>
    <col min="7427" max="7428" width="14.28515625" style="9" customWidth="1"/>
    <col min="7429" max="7429" width="13.5703125" style="9" customWidth="1"/>
    <col min="7430" max="7430" width="15.7109375" style="9" customWidth="1"/>
    <col min="7431" max="7431" width="15.5703125" style="9" customWidth="1"/>
    <col min="7432" max="7681" width="8.7109375" style="9"/>
    <col min="7682" max="7682" width="37.7109375" style="9" customWidth="1"/>
    <col min="7683" max="7684" width="14.28515625" style="9" customWidth="1"/>
    <col min="7685" max="7685" width="13.5703125" style="9" customWidth="1"/>
    <col min="7686" max="7686" width="15.7109375" style="9" customWidth="1"/>
    <col min="7687" max="7687" width="15.5703125" style="9" customWidth="1"/>
    <col min="7688" max="7937" width="8.7109375" style="9"/>
    <col min="7938" max="7938" width="37.7109375" style="9" customWidth="1"/>
    <col min="7939" max="7940" width="14.28515625" style="9" customWidth="1"/>
    <col min="7941" max="7941" width="13.5703125" style="9" customWidth="1"/>
    <col min="7942" max="7942" width="15.7109375" style="9" customWidth="1"/>
    <col min="7943" max="7943" width="15.5703125" style="9" customWidth="1"/>
    <col min="7944" max="8193" width="8.7109375" style="9"/>
    <col min="8194" max="8194" width="37.7109375" style="9" customWidth="1"/>
    <col min="8195" max="8196" width="14.28515625" style="9" customWidth="1"/>
    <col min="8197" max="8197" width="13.5703125" style="9" customWidth="1"/>
    <col min="8198" max="8198" width="15.7109375" style="9" customWidth="1"/>
    <col min="8199" max="8199" width="15.5703125" style="9" customWidth="1"/>
    <col min="8200" max="8449" width="8.7109375" style="9"/>
    <col min="8450" max="8450" width="37.7109375" style="9" customWidth="1"/>
    <col min="8451" max="8452" width="14.28515625" style="9" customWidth="1"/>
    <col min="8453" max="8453" width="13.5703125" style="9" customWidth="1"/>
    <col min="8454" max="8454" width="15.7109375" style="9" customWidth="1"/>
    <col min="8455" max="8455" width="15.5703125" style="9" customWidth="1"/>
    <col min="8456" max="8705" width="8.7109375" style="9"/>
    <col min="8706" max="8706" width="37.7109375" style="9" customWidth="1"/>
    <col min="8707" max="8708" width="14.28515625" style="9" customWidth="1"/>
    <col min="8709" max="8709" width="13.5703125" style="9" customWidth="1"/>
    <col min="8710" max="8710" width="15.7109375" style="9" customWidth="1"/>
    <col min="8711" max="8711" width="15.5703125" style="9" customWidth="1"/>
    <col min="8712" max="8961" width="8.7109375" style="9"/>
    <col min="8962" max="8962" width="37.7109375" style="9" customWidth="1"/>
    <col min="8963" max="8964" width="14.28515625" style="9" customWidth="1"/>
    <col min="8965" max="8965" width="13.5703125" style="9" customWidth="1"/>
    <col min="8966" max="8966" width="15.7109375" style="9" customWidth="1"/>
    <col min="8967" max="8967" width="15.5703125" style="9" customWidth="1"/>
    <col min="8968" max="9217" width="8.7109375" style="9"/>
    <col min="9218" max="9218" width="37.7109375" style="9" customWidth="1"/>
    <col min="9219" max="9220" width="14.28515625" style="9" customWidth="1"/>
    <col min="9221" max="9221" width="13.5703125" style="9" customWidth="1"/>
    <col min="9222" max="9222" width="15.7109375" style="9" customWidth="1"/>
    <col min="9223" max="9223" width="15.5703125" style="9" customWidth="1"/>
    <col min="9224" max="9473" width="8.7109375" style="9"/>
    <col min="9474" max="9474" width="37.7109375" style="9" customWidth="1"/>
    <col min="9475" max="9476" width="14.28515625" style="9" customWidth="1"/>
    <col min="9477" max="9477" width="13.5703125" style="9" customWidth="1"/>
    <col min="9478" max="9478" width="15.7109375" style="9" customWidth="1"/>
    <col min="9479" max="9479" width="15.5703125" style="9" customWidth="1"/>
    <col min="9480" max="9729" width="8.7109375" style="9"/>
    <col min="9730" max="9730" width="37.7109375" style="9" customWidth="1"/>
    <col min="9731" max="9732" width="14.28515625" style="9" customWidth="1"/>
    <col min="9733" max="9733" width="13.5703125" style="9" customWidth="1"/>
    <col min="9734" max="9734" width="15.7109375" style="9" customWidth="1"/>
    <col min="9735" max="9735" width="15.5703125" style="9" customWidth="1"/>
    <col min="9736" max="9985" width="8.7109375" style="9"/>
    <col min="9986" max="9986" width="37.7109375" style="9" customWidth="1"/>
    <col min="9987" max="9988" width="14.28515625" style="9" customWidth="1"/>
    <col min="9989" max="9989" width="13.5703125" style="9" customWidth="1"/>
    <col min="9990" max="9990" width="15.7109375" style="9" customWidth="1"/>
    <col min="9991" max="9991" width="15.5703125" style="9" customWidth="1"/>
    <col min="9992" max="10241" width="8.7109375" style="9"/>
    <col min="10242" max="10242" width="37.7109375" style="9" customWidth="1"/>
    <col min="10243" max="10244" width="14.28515625" style="9" customWidth="1"/>
    <col min="10245" max="10245" width="13.5703125" style="9" customWidth="1"/>
    <col min="10246" max="10246" width="15.7109375" style="9" customWidth="1"/>
    <col min="10247" max="10247" width="15.5703125" style="9" customWidth="1"/>
    <col min="10248" max="10497" width="8.7109375" style="9"/>
    <col min="10498" max="10498" width="37.7109375" style="9" customWidth="1"/>
    <col min="10499" max="10500" width="14.28515625" style="9" customWidth="1"/>
    <col min="10501" max="10501" width="13.5703125" style="9" customWidth="1"/>
    <col min="10502" max="10502" width="15.7109375" style="9" customWidth="1"/>
    <col min="10503" max="10503" width="15.5703125" style="9" customWidth="1"/>
    <col min="10504" max="10753" width="8.7109375" style="9"/>
    <col min="10754" max="10754" width="37.7109375" style="9" customWidth="1"/>
    <col min="10755" max="10756" width="14.28515625" style="9" customWidth="1"/>
    <col min="10757" max="10757" width="13.5703125" style="9" customWidth="1"/>
    <col min="10758" max="10758" width="15.7109375" style="9" customWidth="1"/>
    <col min="10759" max="10759" width="15.5703125" style="9" customWidth="1"/>
    <col min="10760" max="11009" width="8.7109375" style="9"/>
    <col min="11010" max="11010" width="37.7109375" style="9" customWidth="1"/>
    <col min="11011" max="11012" width="14.28515625" style="9" customWidth="1"/>
    <col min="11013" max="11013" width="13.5703125" style="9" customWidth="1"/>
    <col min="11014" max="11014" width="15.7109375" style="9" customWidth="1"/>
    <col min="11015" max="11015" width="15.5703125" style="9" customWidth="1"/>
    <col min="11016" max="11265" width="8.7109375" style="9"/>
    <col min="11266" max="11266" width="37.7109375" style="9" customWidth="1"/>
    <col min="11267" max="11268" width="14.28515625" style="9" customWidth="1"/>
    <col min="11269" max="11269" width="13.5703125" style="9" customWidth="1"/>
    <col min="11270" max="11270" width="15.7109375" style="9" customWidth="1"/>
    <col min="11271" max="11271" width="15.5703125" style="9" customWidth="1"/>
    <col min="11272" max="11521" width="8.7109375" style="9"/>
    <col min="11522" max="11522" width="37.7109375" style="9" customWidth="1"/>
    <col min="11523" max="11524" width="14.28515625" style="9" customWidth="1"/>
    <col min="11525" max="11525" width="13.5703125" style="9" customWidth="1"/>
    <col min="11526" max="11526" width="15.7109375" style="9" customWidth="1"/>
    <col min="11527" max="11527" width="15.5703125" style="9" customWidth="1"/>
    <col min="11528" max="11777" width="8.7109375" style="9"/>
    <col min="11778" max="11778" width="37.7109375" style="9" customWidth="1"/>
    <col min="11779" max="11780" width="14.28515625" style="9" customWidth="1"/>
    <col min="11781" max="11781" width="13.5703125" style="9" customWidth="1"/>
    <col min="11782" max="11782" width="15.7109375" style="9" customWidth="1"/>
    <col min="11783" max="11783" width="15.5703125" style="9" customWidth="1"/>
    <col min="11784" max="12033" width="8.7109375" style="9"/>
    <col min="12034" max="12034" width="37.7109375" style="9" customWidth="1"/>
    <col min="12035" max="12036" width="14.28515625" style="9" customWidth="1"/>
    <col min="12037" max="12037" width="13.5703125" style="9" customWidth="1"/>
    <col min="12038" max="12038" width="15.7109375" style="9" customWidth="1"/>
    <col min="12039" max="12039" width="15.5703125" style="9" customWidth="1"/>
    <col min="12040" max="12289" width="8.7109375" style="9"/>
    <col min="12290" max="12290" width="37.7109375" style="9" customWidth="1"/>
    <col min="12291" max="12292" width="14.28515625" style="9" customWidth="1"/>
    <col min="12293" max="12293" width="13.5703125" style="9" customWidth="1"/>
    <col min="12294" max="12294" width="15.7109375" style="9" customWidth="1"/>
    <col min="12295" max="12295" width="15.5703125" style="9" customWidth="1"/>
    <col min="12296" max="12545" width="8.7109375" style="9"/>
    <col min="12546" max="12546" width="37.7109375" style="9" customWidth="1"/>
    <col min="12547" max="12548" width="14.28515625" style="9" customWidth="1"/>
    <col min="12549" max="12549" width="13.5703125" style="9" customWidth="1"/>
    <col min="12550" max="12550" width="15.7109375" style="9" customWidth="1"/>
    <col min="12551" max="12551" width="15.5703125" style="9" customWidth="1"/>
    <col min="12552" max="12801" width="8.7109375" style="9"/>
    <col min="12802" max="12802" width="37.7109375" style="9" customWidth="1"/>
    <col min="12803" max="12804" width="14.28515625" style="9" customWidth="1"/>
    <col min="12805" max="12805" width="13.5703125" style="9" customWidth="1"/>
    <col min="12806" max="12806" width="15.7109375" style="9" customWidth="1"/>
    <col min="12807" max="12807" width="15.5703125" style="9" customWidth="1"/>
    <col min="12808" max="13057" width="8.7109375" style="9"/>
    <col min="13058" max="13058" width="37.7109375" style="9" customWidth="1"/>
    <col min="13059" max="13060" width="14.28515625" style="9" customWidth="1"/>
    <col min="13061" max="13061" width="13.5703125" style="9" customWidth="1"/>
    <col min="13062" max="13062" width="15.7109375" style="9" customWidth="1"/>
    <col min="13063" max="13063" width="15.5703125" style="9" customWidth="1"/>
    <col min="13064" max="13313" width="8.7109375" style="9"/>
    <col min="13314" max="13314" width="37.7109375" style="9" customWidth="1"/>
    <col min="13315" max="13316" width="14.28515625" style="9" customWidth="1"/>
    <col min="13317" max="13317" width="13.5703125" style="9" customWidth="1"/>
    <col min="13318" max="13318" width="15.7109375" style="9" customWidth="1"/>
    <col min="13319" max="13319" width="15.5703125" style="9" customWidth="1"/>
    <col min="13320" max="13569" width="8.7109375" style="9"/>
    <col min="13570" max="13570" width="37.7109375" style="9" customWidth="1"/>
    <col min="13571" max="13572" width="14.28515625" style="9" customWidth="1"/>
    <col min="13573" max="13573" width="13.5703125" style="9" customWidth="1"/>
    <col min="13574" max="13574" width="15.7109375" style="9" customWidth="1"/>
    <col min="13575" max="13575" width="15.5703125" style="9" customWidth="1"/>
    <col min="13576" max="13825" width="8.7109375" style="9"/>
    <col min="13826" max="13826" width="37.7109375" style="9" customWidth="1"/>
    <col min="13827" max="13828" width="14.28515625" style="9" customWidth="1"/>
    <col min="13829" max="13829" width="13.5703125" style="9" customWidth="1"/>
    <col min="13830" max="13830" width="15.7109375" style="9" customWidth="1"/>
    <col min="13831" max="13831" width="15.5703125" style="9" customWidth="1"/>
    <col min="13832" max="14081" width="8.7109375" style="9"/>
    <col min="14082" max="14082" width="37.7109375" style="9" customWidth="1"/>
    <col min="14083" max="14084" width="14.28515625" style="9" customWidth="1"/>
    <col min="14085" max="14085" width="13.5703125" style="9" customWidth="1"/>
    <col min="14086" max="14086" width="15.7109375" style="9" customWidth="1"/>
    <col min="14087" max="14087" width="15.5703125" style="9" customWidth="1"/>
    <col min="14088" max="14337" width="8.7109375" style="9"/>
    <col min="14338" max="14338" width="37.7109375" style="9" customWidth="1"/>
    <col min="14339" max="14340" width="14.28515625" style="9" customWidth="1"/>
    <col min="14341" max="14341" width="13.5703125" style="9" customWidth="1"/>
    <col min="14342" max="14342" width="15.7109375" style="9" customWidth="1"/>
    <col min="14343" max="14343" width="15.5703125" style="9" customWidth="1"/>
    <col min="14344" max="14593" width="8.7109375" style="9"/>
    <col min="14594" max="14594" width="37.7109375" style="9" customWidth="1"/>
    <col min="14595" max="14596" width="14.28515625" style="9" customWidth="1"/>
    <col min="14597" max="14597" width="13.5703125" style="9" customWidth="1"/>
    <col min="14598" max="14598" width="15.7109375" style="9" customWidth="1"/>
    <col min="14599" max="14599" width="15.5703125" style="9" customWidth="1"/>
    <col min="14600" max="14849" width="8.7109375" style="9"/>
    <col min="14850" max="14850" width="37.7109375" style="9" customWidth="1"/>
    <col min="14851" max="14852" width="14.28515625" style="9" customWidth="1"/>
    <col min="14853" max="14853" width="13.5703125" style="9" customWidth="1"/>
    <col min="14854" max="14854" width="15.7109375" style="9" customWidth="1"/>
    <col min="14855" max="14855" width="15.5703125" style="9" customWidth="1"/>
    <col min="14856" max="15105" width="8.7109375" style="9"/>
    <col min="15106" max="15106" width="37.7109375" style="9" customWidth="1"/>
    <col min="15107" max="15108" width="14.28515625" style="9" customWidth="1"/>
    <col min="15109" max="15109" width="13.5703125" style="9" customWidth="1"/>
    <col min="15110" max="15110" width="15.7109375" style="9" customWidth="1"/>
    <col min="15111" max="15111" width="15.5703125" style="9" customWidth="1"/>
    <col min="15112" max="15361" width="8.7109375" style="9"/>
    <col min="15362" max="15362" width="37.7109375" style="9" customWidth="1"/>
    <col min="15363" max="15364" width="14.28515625" style="9" customWidth="1"/>
    <col min="15365" max="15365" width="13.5703125" style="9" customWidth="1"/>
    <col min="15366" max="15366" width="15.7109375" style="9" customWidth="1"/>
    <col min="15367" max="15367" width="15.5703125" style="9" customWidth="1"/>
    <col min="15368" max="15617" width="8.7109375" style="9"/>
    <col min="15618" max="15618" width="37.7109375" style="9" customWidth="1"/>
    <col min="15619" max="15620" width="14.28515625" style="9" customWidth="1"/>
    <col min="15621" max="15621" width="13.5703125" style="9" customWidth="1"/>
    <col min="15622" max="15622" width="15.7109375" style="9" customWidth="1"/>
    <col min="15623" max="15623" width="15.5703125" style="9" customWidth="1"/>
    <col min="15624" max="15873" width="8.7109375" style="9"/>
    <col min="15874" max="15874" width="37.7109375" style="9" customWidth="1"/>
    <col min="15875" max="15876" width="14.28515625" style="9" customWidth="1"/>
    <col min="15877" max="15877" width="13.5703125" style="9" customWidth="1"/>
    <col min="15878" max="15878" width="15.7109375" style="9" customWidth="1"/>
    <col min="15879" max="15879" width="15.5703125" style="9" customWidth="1"/>
    <col min="15880" max="16129" width="8.7109375" style="9"/>
    <col min="16130" max="16130" width="37.7109375" style="9" customWidth="1"/>
    <col min="16131" max="16132" width="14.28515625" style="9" customWidth="1"/>
    <col min="16133" max="16133" width="13.5703125" style="9" customWidth="1"/>
    <col min="16134" max="16134" width="15.7109375" style="9" customWidth="1"/>
    <col min="16135" max="16135" width="15.5703125" style="9" customWidth="1"/>
    <col min="16136" max="16384" width="8.7109375" style="9"/>
  </cols>
  <sheetData>
    <row r="1" spans="1:9" ht="30" customHeight="1" x14ac:dyDescent="0.25"/>
    <row r="2" spans="1:9" ht="36.75" customHeight="1" x14ac:dyDescent="0.35">
      <c r="A2" s="5" t="str">
        <f>'[1]Teine 40'!A2</f>
        <v>Koolilõuna 02.10-06.10.2023</v>
      </c>
      <c r="B2" s="94"/>
      <c r="C2" s="10" t="s">
        <v>66</v>
      </c>
      <c r="D2" s="11"/>
    </row>
    <row r="3" spans="1:9" ht="24" customHeight="1" x14ac:dyDescent="0.25">
      <c r="A3" s="68" t="s">
        <v>1</v>
      </c>
      <c r="B3" s="247"/>
      <c r="C3" s="246" t="s">
        <v>2</v>
      </c>
      <c r="D3" s="246" t="s">
        <v>3</v>
      </c>
      <c r="E3" s="246" t="s">
        <v>4</v>
      </c>
      <c r="F3" s="246" t="s">
        <v>5</v>
      </c>
      <c r="G3" s="246" t="s">
        <v>6</v>
      </c>
    </row>
    <row r="4" spans="1:9" ht="17.25" customHeight="1" x14ac:dyDescent="0.25">
      <c r="A4" s="64" t="s">
        <v>7</v>
      </c>
      <c r="B4" s="261" t="str">
        <f>'[1]Teine 40'!B4</f>
        <v xml:space="preserve">Küpsetatud kanakitsuliha </v>
      </c>
      <c r="C4" s="192">
        <v>50</v>
      </c>
      <c r="D4" s="192">
        <f>C4*'[1]Teine 40'!D4/'[1]Teine 40'!C4</f>
        <v>72</v>
      </c>
      <c r="E4" s="192">
        <f>D4*'[1]Teine 40'!E4/'[1]Teine 40'!D4</f>
        <v>0.68</v>
      </c>
      <c r="F4" s="192">
        <f>E4*'[1]Teine 40'!F4/'[1]Teine 40'!E4</f>
        <v>3.26</v>
      </c>
      <c r="G4" s="192">
        <f>F4*'[1]Teine 40'!G4/'[1]Teine 40'!F4</f>
        <v>10.46</v>
      </c>
    </row>
    <row r="5" spans="1:9" x14ac:dyDescent="0.25">
      <c r="A5" s="56"/>
      <c r="B5" s="261" t="str">
        <f>'[1]Teine 40'!B5</f>
        <v>Hautatud sealiha</v>
      </c>
      <c r="C5" s="192">
        <v>50</v>
      </c>
      <c r="D5" s="192">
        <f>C5*'[1]Teine 40'!D5/'[1]Teine 40'!C5</f>
        <v>85</v>
      </c>
      <c r="E5" s="192">
        <f>D5*'[1]Teine 40'!E5/'[1]Teine 40'!D5</f>
        <v>0.11</v>
      </c>
      <c r="F5" s="192">
        <f>E5*'[1]Teine 40'!F5/'[1]Teine 40'!E5</f>
        <v>7.3</v>
      </c>
      <c r="G5" s="192">
        <f>F5*'[1]Teine 40'!G5/'[1]Teine 40'!F5</f>
        <v>10.88</v>
      </c>
    </row>
    <row r="6" spans="1:9" s="12" customFormat="1" x14ac:dyDescent="0.25">
      <c r="A6" s="56"/>
      <c r="B6" s="261" t="str">
        <f>'[1]Teine 40'!B6</f>
        <v>Magushapus kaste</v>
      </c>
      <c r="C6" s="192">
        <v>100</v>
      </c>
      <c r="D6" s="192">
        <f>C6*'[1]Teine 40'!D6/'[1]Teine 40'!C6</f>
        <v>76.599999999999994</v>
      </c>
      <c r="E6" s="192">
        <f>D6*'[1]Teine 40'!E6/'[1]Teine 40'!D6</f>
        <v>18.5</v>
      </c>
      <c r="F6" s="192">
        <f>E6*'[1]Teine 40'!F6/'[1]Teine 40'!E6</f>
        <v>0</v>
      </c>
      <c r="G6" s="192">
        <v>0.25</v>
      </c>
    </row>
    <row r="7" spans="1:9" x14ac:dyDescent="0.25">
      <c r="A7" s="56"/>
      <c r="B7" s="261" t="str">
        <f>'[1]Teine 40'!B7</f>
        <v>Täisterapasta/pasta (G)</v>
      </c>
      <c r="C7" s="192">
        <v>100</v>
      </c>
      <c r="D7" s="192">
        <f>C7*'[1]Teine 40'!D7/'[1]Teine 40'!C7</f>
        <v>178.92</v>
      </c>
      <c r="E7" s="192">
        <f>D7*'[1]Teine 40'!E7/'[1]Teine 40'!D7</f>
        <v>34.094000000000001</v>
      </c>
      <c r="F7" s="192">
        <f>E7*'[1]Teine 40'!F7/'[1]Teine 40'!E7</f>
        <v>1.4</v>
      </c>
      <c r="G7" s="192">
        <f>F7*'[1]Teine 40'!G7/'[1]Teine 40'!F7</f>
        <v>6.6029999999999998</v>
      </c>
    </row>
    <row r="8" spans="1:9" x14ac:dyDescent="0.25">
      <c r="A8" s="56"/>
      <c r="B8" s="261" t="str">
        <f>'[1]Teine 40'!B8</f>
        <v>Riis, aurutatud</v>
      </c>
      <c r="C8" s="192">
        <v>100</v>
      </c>
      <c r="D8" s="192">
        <f>C8*'[1]Teine 40'!D8/'[1]Teine 40'!C8</f>
        <v>129.22</v>
      </c>
      <c r="E8" s="192">
        <f>D8*'[1]Teine 40'!E8/'[1]Teine 40'!D8</f>
        <v>28.62</v>
      </c>
      <c r="F8" s="192">
        <f>E8*'[1]Teine 40'!F8/'[1]Teine 40'!E8</f>
        <v>0.254</v>
      </c>
      <c r="G8" s="192">
        <f>F8*'[1]Teine 40'!G8/'[1]Teine 40'!F8</f>
        <v>2.9394</v>
      </c>
    </row>
    <row r="9" spans="1:9" x14ac:dyDescent="0.25">
      <c r="A9" s="56"/>
      <c r="B9" s="261" t="str">
        <f>'[1]Teine 40'!B9</f>
        <v>Kusskuss, keedetud (G)</v>
      </c>
      <c r="C9" s="192">
        <v>70</v>
      </c>
      <c r="D9" s="192">
        <f>C9*'[1]Teine 40'!D9/'[1]Teine 40'!C9</f>
        <v>84.825999999999993</v>
      </c>
      <c r="E9" s="192">
        <f>D9*'[1]Teine 40'!E9/'[1]Teine 40'!D9</f>
        <v>17.556000000000001</v>
      </c>
      <c r="F9" s="192">
        <f>E9*'[1]Teine 40'!F9/'[1]Teine 40'!E9</f>
        <v>0.504</v>
      </c>
      <c r="G9" s="192">
        <f>F9*'[1]Teine 40'!G9/'[1]Teine 40'!F9</f>
        <v>2.8840000000000003</v>
      </c>
    </row>
    <row r="10" spans="1:9" x14ac:dyDescent="0.25">
      <c r="A10" s="384"/>
      <c r="B10" s="261" t="str">
        <f>'[1]Teine 40'!B10</f>
        <v>Porgandi-ananassisalat</v>
      </c>
      <c r="C10" s="192">
        <v>50</v>
      </c>
      <c r="D10" s="192">
        <f>C10*'[1]Teine 40'!D10/'[1]Teine 40'!C10</f>
        <v>22.65</v>
      </c>
      <c r="E10" s="192">
        <f>D10*'[1]Teine 40'!E10/'[1]Teine 40'!D10</f>
        <v>4.32</v>
      </c>
      <c r="F10" s="192">
        <f>E10*'[1]Teine 40'!F10/'[1]Teine 40'!E10</f>
        <v>0.77</v>
      </c>
      <c r="G10" s="192">
        <f>F10*'[1]Teine 40'!G10/'[1]Teine 40'!F10</f>
        <v>0.28999999999999998</v>
      </c>
    </row>
    <row r="11" spans="1:9" x14ac:dyDescent="0.25">
      <c r="A11" s="56"/>
      <c r="B11" s="261" t="str">
        <f>'[1]Teine 40'!B11</f>
        <v>Punane kapsas, mais, juurseller (röstitu)</v>
      </c>
      <c r="C11" s="192">
        <v>50</v>
      </c>
      <c r="D11" s="192">
        <f>C11*'[1]Teine 40'!D11/'[1]Teine 40'!C11</f>
        <v>32.35</v>
      </c>
      <c r="E11" s="192">
        <f>D11*'[1]Teine 40'!E11/'[1]Teine 40'!D11</f>
        <v>4.53</v>
      </c>
      <c r="F11" s="192">
        <f>E11*'[1]Teine 40'!F11/'[1]Teine 40'!E11</f>
        <v>0.94000000000000006</v>
      </c>
      <c r="G11" s="192">
        <f>F11*'[1]Teine 40'!G11/'[1]Teine 40'!F11</f>
        <v>0.92000000000000015</v>
      </c>
    </row>
    <row r="12" spans="1:9" x14ac:dyDescent="0.25">
      <c r="A12" s="56"/>
      <c r="B12" s="261" t="str">
        <f>'[1]Teine 40'!B12</f>
        <v>Salatikaste</v>
      </c>
      <c r="C12" s="192">
        <v>5</v>
      </c>
      <c r="D12" s="192">
        <f>C12*'[1]Teine 40'!D12/'[1]Teine 40'!C12</f>
        <v>35.25</v>
      </c>
      <c r="E12" s="192">
        <f>D12*'[1]Teine 40'!E12/'[1]Teine 40'!D12</f>
        <v>2.9999999999999995E-2</v>
      </c>
      <c r="F12" s="192">
        <f>E12*'[1]Teine 40'!F12/'[1]Teine 40'!E12</f>
        <v>2.8999999999999995</v>
      </c>
      <c r="G12" s="192">
        <f>F12*'[1]Teine 40'!G12/'[1]Teine 40'!F12</f>
        <v>9.9999999999999985E-3</v>
      </c>
    </row>
    <row r="13" spans="1:9" x14ac:dyDescent="0.25">
      <c r="A13" s="56"/>
      <c r="B13" s="25" t="s">
        <v>20</v>
      </c>
      <c r="C13" s="26">
        <v>14</v>
      </c>
      <c r="D13" s="26">
        <v>85.54</v>
      </c>
      <c r="E13" s="26">
        <v>2.0448</v>
      </c>
      <c r="F13" s="26">
        <v>3.5</v>
      </c>
      <c r="G13" s="26">
        <v>2.14</v>
      </c>
    </row>
    <row r="14" spans="1:9" x14ac:dyDescent="0.25">
      <c r="A14" s="56"/>
      <c r="B14" s="261" t="s">
        <v>136</v>
      </c>
      <c r="C14" s="200">
        <v>100</v>
      </c>
      <c r="D14" s="192"/>
      <c r="E14" s="192"/>
      <c r="F14" s="192"/>
      <c r="G14" s="192"/>
    </row>
    <row r="15" spans="1:9" x14ac:dyDescent="0.25">
      <c r="A15" s="56"/>
      <c r="B15" s="261" t="str">
        <f>'[1]Teine 40'!B15</f>
        <v>Rukkileiva- ja sepikutoodete valik (G)</v>
      </c>
      <c r="C15" s="192">
        <v>60</v>
      </c>
      <c r="D15" s="192">
        <f>C15*'[1]Teine 40'!D15/'[1]Teine 40'!C15</f>
        <v>138</v>
      </c>
      <c r="E15" s="192">
        <f>D15*'[1]Teine 40'!E15/'[1]Teine 40'!D15</f>
        <v>29.520000000000003</v>
      </c>
      <c r="F15" s="192">
        <f>E15*'[1]Teine 40'!F15/'[1]Teine 40'!E15</f>
        <v>0.99599999999999989</v>
      </c>
      <c r="G15" s="192">
        <f>F15*'[1]Teine 40'!G15/'[1]Teine 40'!F15</f>
        <v>4.7279999999999998</v>
      </c>
      <c r="I15" s="13"/>
    </row>
    <row r="16" spans="1:9" x14ac:dyDescent="0.25">
      <c r="A16" s="56"/>
      <c r="B16" s="261" t="s">
        <v>174</v>
      </c>
      <c r="C16" s="255">
        <v>100</v>
      </c>
      <c r="D16" s="192">
        <f>C16*'[1]Teine 40'!D16/'[1]Teine 40'!C16</f>
        <v>48.3</v>
      </c>
      <c r="E16" s="192">
        <f>D16*'[1]Teine 40'!E16/'[1]Teine 40'!D16</f>
        <v>10.9</v>
      </c>
      <c r="F16" s="192">
        <f>E16*'[1]Teine 40'!F16/'[1]Teine 40'!E16</f>
        <v>0</v>
      </c>
      <c r="G16" s="192">
        <v>0</v>
      </c>
    </row>
    <row r="17" spans="1:7" x14ac:dyDescent="0.25">
      <c r="A17" s="49"/>
      <c r="B17" s="156" t="str">
        <f>'[1]Teine 40'!B17</f>
        <v>Kokku:</v>
      </c>
      <c r="C17" s="327"/>
      <c r="D17" s="330">
        <f>SUM(D4:D16)</f>
        <v>988.65599999999995</v>
      </c>
      <c r="E17" s="330">
        <f t="shared" ref="E17:G17" si="0">SUM(E4:E16)</f>
        <v>150.90479999999999</v>
      </c>
      <c r="F17" s="330">
        <f t="shared" si="0"/>
        <v>21.823999999999995</v>
      </c>
      <c r="G17" s="330">
        <f t="shared" si="0"/>
        <v>42.104400000000005</v>
      </c>
    </row>
    <row r="18" spans="1:7" x14ac:dyDescent="0.25">
      <c r="A18" s="14" t="s">
        <v>79</v>
      </c>
      <c r="B18" s="10" t="s">
        <v>80</v>
      </c>
      <c r="C18" s="385">
        <v>150</v>
      </c>
      <c r="D18" s="192">
        <f>1.07*129.92</f>
        <v>139.01439999999999</v>
      </c>
      <c r="E18" s="192">
        <f>1.07*18.34</f>
        <v>19.623799999999999</v>
      </c>
      <c r="F18" s="192">
        <f>1.07*3.892</f>
        <v>4.1644399999999999</v>
      </c>
      <c r="G18" s="192">
        <f>1.07*4.312</f>
        <v>4.6138400000000006</v>
      </c>
    </row>
    <row r="19" spans="1:7" ht="23.25" customHeight="1" x14ac:dyDescent="0.25">
      <c r="A19" s="47" t="s">
        <v>9</v>
      </c>
      <c r="B19" s="48"/>
      <c r="C19" s="331" t="s">
        <v>2</v>
      </c>
      <c r="D19" s="331" t="s">
        <v>3</v>
      </c>
      <c r="E19" s="331" t="s">
        <v>4</v>
      </c>
      <c r="F19" s="331" t="s">
        <v>5</v>
      </c>
      <c r="G19" s="331" t="s">
        <v>6</v>
      </c>
    </row>
    <row r="20" spans="1:7" x14ac:dyDescent="0.25">
      <c r="A20" s="64" t="s">
        <v>7</v>
      </c>
      <c r="B20" s="261" t="str">
        <f>'[1]Teine 40'!B20</f>
        <v>Rassolnik sealihaga (G)</v>
      </c>
      <c r="C20" s="23">
        <v>175</v>
      </c>
      <c r="D20" s="23">
        <f>C20*'[1]Teine 40'!D20/'[1]Teine 40'!C20</f>
        <v>126.175</v>
      </c>
      <c r="E20" s="23">
        <f>D20*'[1]Teine 40'!E20/'[1]Teine 40'!D20</f>
        <v>17.675000000000001</v>
      </c>
      <c r="F20" s="23">
        <f>E20*'[1]Teine 40'!F20/'[1]Teine 40'!E20</f>
        <v>4.1860000000000008</v>
      </c>
      <c r="G20" s="23">
        <f>F20*'[1]Teine 40'!G20/'[1]Teine 40'!F20</f>
        <v>2.7230000000000003</v>
      </c>
    </row>
    <row r="21" spans="1:7" x14ac:dyDescent="0.25">
      <c r="A21" s="64"/>
      <c r="B21" s="261" t="str">
        <f>'[1]Teine 40'!B21</f>
        <v>Tomatine läätsesupp veiselihaga</v>
      </c>
      <c r="C21" s="23">
        <v>175</v>
      </c>
      <c r="D21" s="23">
        <f>C21*'[1]Teine 40'!D21/'[1]Teine 40'!C21</f>
        <v>157.5</v>
      </c>
      <c r="E21" s="23">
        <f>D21*'[1]Teine 40'!E21/'[1]Teine 40'!D21</f>
        <v>22.295000000000002</v>
      </c>
      <c r="F21" s="23">
        <f>E21*'[1]Teine 40'!F21/'[1]Teine 40'!E21</f>
        <v>7.9800000000000013</v>
      </c>
      <c r="G21" s="23">
        <f>F21*'[1]Teine 40'!G21/'[1]Teine 40'!F21</f>
        <v>6.5450000000000008</v>
      </c>
    </row>
    <row r="22" spans="1:7" x14ac:dyDescent="0.25">
      <c r="A22" s="64"/>
      <c r="B22" s="261" t="str">
        <f>'[1]Teine 40'!B22</f>
        <v>Hapukoor (L)</v>
      </c>
      <c r="C22" s="23">
        <v>20</v>
      </c>
      <c r="D22" s="23">
        <f>C22*'[1]Teine 40'!D22/'[1]Teine 40'!C22</f>
        <v>44.4</v>
      </c>
      <c r="E22" s="23">
        <f>D22*'[1]Teine 40'!E22/'[1]Teine 40'!D22</f>
        <v>0.76</v>
      </c>
      <c r="F22" s="23">
        <f>E22*'[1]Teine 40'!F22/'[1]Teine 40'!E22</f>
        <v>4.3</v>
      </c>
      <c r="G22" s="23">
        <f>F22*'[1]Teine 40'!G22/'[1]Teine 40'!F22</f>
        <v>0.66</v>
      </c>
    </row>
    <row r="23" spans="1:7" x14ac:dyDescent="0.25">
      <c r="A23" s="56"/>
      <c r="B23" s="261" t="str">
        <f>'[1]Teine 40'!B23</f>
        <v>Kohupiimakreem mustikakisselliga (L)</v>
      </c>
      <c r="C23" s="192">
        <v>160</v>
      </c>
      <c r="D23" s="23">
        <f>C23*'[1]Teine 40'!D23/'[1]Teine 40'!C23</f>
        <v>219.2</v>
      </c>
      <c r="E23" s="23">
        <f>D23*'[1]Teine 40'!E23/'[1]Teine 40'!D23</f>
        <v>23.999999999999996</v>
      </c>
      <c r="F23" s="23">
        <f>E23*'[1]Teine 40'!F23/'[1]Teine 40'!E23</f>
        <v>11.31</v>
      </c>
      <c r="G23" s="23">
        <f>F23*'[1]Teine 40'!G23/'[1]Teine 40'!F23</f>
        <v>5.34</v>
      </c>
    </row>
    <row r="24" spans="1:7" x14ac:dyDescent="0.25">
      <c r="A24" s="56"/>
      <c r="B24" s="261" t="s">
        <v>136</v>
      </c>
      <c r="C24" s="200">
        <v>200</v>
      </c>
      <c r="D24" s="23"/>
      <c r="E24" s="23"/>
      <c r="F24" s="23"/>
      <c r="G24" s="23"/>
    </row>
    <row r="25" spans="1:7" x14ac:dyDescent="0.25">
      <c r="A25" s="56"/>
      <c r="B25" s="261" t="str">
        <f>'[1]Teine 40'!B25</f>
        <v>Rukkileiva- ja sepikutoodete valik (G)</v>
      </c>
      <c r="C25" s="255">
        <v>60</v>
      </c>
      <c r="D25" s="23">
        <f>C25*'[1]Teine 40'!D25/'[1]Teine 40'!C25</f>
        <v>138</v>
      </c>
      <c r="E25" s="23">
        <f>D25*'[1]Teine 40'!E25/'[1]Teine 40'!D25</f>
        <v>29.520000000000003</v>
      </c>
      <c r="F25" s="23">
        <f>E25*'[1]Teine 40'!F25/'[1]Teine 40'!E25</f>
        <v>0.99599999999999989</v>
      </c>
      <c r="G25" s="23">
        <f>F25*'[1]Teine 40'!G25/'[1]Teine 40'!F25</f>
        <v>4.7279999999999998</v>
      </c>
    </row>
    <row r="26" spans="1:7" x14ac:dyDescent="0.25">
      <c r="A26" s="64"/>
      <c r="B26" s="261" t="s">
        <v>141</v>
      </c>
      <c r="C26" s="81">
        <v>100</v>
      </c>
      <c r="D26" s="23">
        <f>C26*'[1]Teine 40'!D26/'[1]Teine 40'!C26</f>
        <v>35.6</v>
      </c>
      <c r="E26" s="23">
        <f>D26*'[1]Teine 40'!E26/'[1]Teine 40'!D26</f>
        <v>6.22</v>
      </c>
      <c r="F26" s="23">
        <f>E26*'[1]Teine 40'!F26/'[1]Teine 40'!E26</f>
        <v>0.1</v>
      </c>
      <c r="G26" s="23">
        <f>F26*'[1]Teine 40'!G26/'[1]Teine 40'!F26</f>
        <v>1.1000000000000001</v>
      </c>
    </row>
    <row r="27" spans="1:7" x14ac:dyDescent="0.25">
      <c r="A27" s="49"/>
      <c r="B27" s="156" t="str">
        <f>'[1]Teine 40'!B27</f>
        <v>Kokku:</v>
      </c>
      <c r="C27" s="327"/>
      <c r="D27" s="330">
        <f>SUM(D20:D26)</f>
        <v>720.875</v>
      </c>
      <c r="E27" s="330">
        <f t="shared" ref="E27:G27" si="1">SUM(E20:E26)</f>
        <v>100.47</v>
      </c>
      <c r="F27" s="330">
        <f t="shared" si="1"/>
        <v>28.872000000000003</v>
      </c>
      <c r="G27" s="330">
        <f t="shared" si="1"/>
        <v>21.096000000000004</v>
      </c>
    </row>
    <row r="28" spans="1:7" x14ac:dyDescent="0.25">
      <c r="A28" s="14" t="s">
        <v>79</v>
      </c>
      <c r="B28" s="10" t="s">
        <v>81</v>
      </c>
      <c r="C28" s="385">
        <v>350</v>
      </c>
      <c r="D28" s="26">
        <f>210.3*1.16</f>
        <v>243.94800000000001</v>
      </c>
      <c r="E28" s="26">
        <f>28.81*1.16</f>
        <v>33.419599999999996</v>
      </c>
      <c r="F28" s="26">
        <f>6.2*1.16</f>
        <v>7.1919999999999993</v>
      </c>
      <c r="G28" s="26">
        <f>6.83*1.16</f>
        <v>7.9227999999999996</v>
      </c>
    </row>
    <row r="29" spans="1:7" ht="24" customHeight="1" x14ac:dyDescent="0.25">
      <c r="A29" s="47" t="s">
        <v>10</v>
      </c>
      <c r="B29" s="48"/>
      <c r="C29" s="331" t="s">
        <v>2</v>
      </c>
      <c r="D29" s="331" t="s">
        <v>3</v>
      </c>
      <c r="E29" s="331" t="s">
        <v>4</v>
      </c>
      <c r="F29" s="331" t="s">
        <v>5</v>
      </c>
      <c r="G29" s="331" t="s">
        <v>6</v>
      </c>
    </row>
    <row r="30" spans="1:7" x14ac:dyDescent="0.25">
      <c r="A30" s="64" t="s">
        <v>7</v>
      </c>
      <c r="B30" s="261" t="str">
        <f>'[1]Teine 40'!B30</f>
        <v>Maksastrooganov (L, G)</v>
      </c>
      <c r="C30" s="23">
        <v>75</v>
      </c>
      <c r="D30" s="23">
        <f>C30*'[1]Teine 40'!D30/'[1]Teine 40'!C30</f>
        <v>120</v>
      </c>
      <c r="E30" s="23">
        <f>D30*'[1]Teine 40'!E30/'[1]Teine 40'!D30</f>
        <v>13.424999999999999</v>
      </c>
      <c r="F30" s="23">
        <f>E30*'[1]Teine 40'!F30/'[1]Teine 40'!E30</f>
        <v>7.5053571428571422</v>
      </c>
      <c r="G30" s="23">
        <f>F30*'[1]Teine 40'!G30/'[1]Teine 40'!F30</f>
        <v>9.7714285714285705</v>
      </c>
    </row>
    <row r="31" spans="1:7" x14ac:dyDescent="0.25">
      <c r="A31" s="386"/>
      <c r="B31" s="261" t="str">
        <f>'[1]Teine 40'!B31</f>
        <v>Kalkuni-köögiviljakaste ürtidega (L, G)</v>
      </c>
      <c r="C31" s="23">
        <v>75</v>
      </c>
      <c r="D31" s="23">
        <f>C31*'[1]Teine 40'!D31/'[1]Teine 40'!C31</f>
        <v>109.54285714285714</v>
      </c>
      <c r="E31" s="23">
        <f>D31*'[1]Teine 40'!E31/'[1]Teine 40'!D31</f>
        <v>12.75</v>
      </c>
      <c r="F31" s="23">
        <f>E31*'[1]Teine 40'!F31/'[1]Teine 40'!E31</f>
        <v>6.3321428571428573</v>
      </c>
      <c r="G31" s="23">
        <f>F31*'[1]Teine 40'!G31/'[1]Teine 40'!F31</f>
        <v>6.1553571428571425</v>
      </c>
    </row>
    <row r="32" spans="1:7" x14ac:dyDescent="0.25">
      <c r="A32" s="386"/>
      <c r="B32" s="261" t="str">
        <f>'[1]Teine 40'!B32</f>
        <v>Kartulipüree (L)</v>
      </c>
      <c r="C32" s="23">
        <v>100</v>
      </c>
      <c r="D32" s="23">
        <f>C32*'[1]Teine 40'!D32/'[1]Teine 40'!C32</f>
        <v>89.85599999999998</v>
      </c>
      <c r="E32" s="23">
        <f>D32*'[1]Teine 40'!E32/'[1]Teine 40'!D32</f>
        <v>14.412999999999997</v>
      </c>
      <c r="F32" s="23">
        <f>E32*'[1]Teine 40'!F32/'[1]Teine 40'!E32</f>
        <v>2.3571999999999997</v>
      </c>
      <c r="G32" s="23">
        <f>F32*'[1]Teine 40'!G32/'[1]Teine 40'!F32</f>
        <v>2.3429999999999995</v>
      </c>
    </row>
    <row r="33" spans="1:9" x14ac:dyDescent="0.25">
      <c r="A33" s="384"/>
      <c r="B33" s="261" t="str">
        <f>'[1]Teine 40'!B33</f>
        <v>Tatar, aurutatud</v>
      </c>
      <c r="C33" s="192">
        <v>100</v>
      </c>
      <c r="D33" s="23">
        <f>C33*'[1]Teine 40'!D33/'[1]Teine 40'!C33</f>
        <v>74.975999999999999</v>
      </c>
      <c r="E33" s="23">
        <f>D33*'[1]Teine 40'!E32/'[1]Teine 40'!D32</f>
        <v>12.026231837606838</v>
      </c>
      <c r="F33" s="23">
        <f>E33*'[1]Teine 40'!F32/'[1]Teine 40'!E32</f>
        <v>1.9668517094017097</v>
      </c>
      <c r="G33" s="23">
        <f>F33*'[1]Teine 40'!G32/'[1]Teine 40'!F32</f>
        <v>1.9550032051282051</v>
      </c>
    </row>
    <row r="34" spans="1:9" s="12" customFormat="1" x14ac:dyDescent="0.25">
      <c r="A34" s="56"/>
      <c r="B34" s="261" t="str">
        <f>'[1]Teine 40'!B34</f>
        <v>Kolme riisi segu, aurutatud</v>
      </c>
      <c r="C34" s="192">
        <v>100</v>
      </c>
      <c r="D34" s="23">
        <f>C34*'[1]Teine 40'!D34/'[1]Teine 40'!C34</f>
        <v>74.975999999999999</v>
      </c>
      <c r="E34" s="23">
        <f>D34*'[1]Teine 40'!E33/'[1]Teine 40'!D33</f>
        <v>17.324000000000002</v>
      </c>
      <c r="F34" s="23">
        <f>E34*'[1]Teine 40'!F33/'[1]Teine 40'!E33</f>
        <v>9.9400000000000002E-2</v>
      </c>
      <c r="G34" s="23">
        <f>F34*'[1]Teine 40'!G33/'[1]Teine 40'!F33</f>
        <v>1.9454</v>
      </c>
    </row>
    <row r="35" spans="1:9" x14ac:dyDescent="0.25">
      <c r="A35" s="56"/>
      <c r="B35" s="261" t="str">
        <f>'[1]Teine 40'!B35</f>
        <v>Peedisalat jõhvikatega</v>
      </c>
      <c r="C35" s="192">
        <v>50</v>
      </c>
      <c r="D35" s="23">
        <f>C35*'[1]Teine 40'!D35/'[1]Teine 40'!C35</f>
        <v>19.850000000000001</v>
      </c>
      <c r="E35" s="23">
        <f>D35*'[1]Teine 40'!E35/'[1]Teine 40'!D35</f>
        <v>3.38</v>
      </c>
      <c r="F35" s="23">
        <f>E35*'[1]Teine 40'!F35/'[1]Teine 40'!E35</f>
        <v>0.1</v>
      </c>
      <c r="G35" s="23">
        <f>F35*'[1]Teine 40'!G35/'[1]Teine 40'!F35</f>
        <v>0.70999999999999985</v>
      </c>
    </row>
    <row r="36" spans="1:9" x14ac:dyDescent="0.25">
      <c r="A36" s="56"/>
      <c r="B36" s="261" t="str">
        <f>'[1]Teine 40'!B36</f>
        <v>Porgand, Hiina kapsas, roheline hernes</v>
      </c>
      <c r="C36" s="192">
        <v>50</v>
      </c>
      <c r="D36" s="23">
        <f>C36*'[1]Teine 40'!D36/'[1]Teine 40'!C36</f>
        <v>20.399999999999999</v>
      </c>
      <c r="E36" s="23">
        <f>D36*'[1]Teine 40'!E36/'[1]Teine 40'!D36</f>
        <v>2.87</v>
      </c>
      <c r="F36" s="23">
        <f>E36*'[1]Teine 40'!F36/'[1]Teine 40'!E36</f>
        <v>0.16</v>
      </c>
      <c r="G36" s="23">
        <f>F36*'[1]Teine 40'!G36/'[1]Teine 40'!F36</f>
        <v>1</v>
      </c>
    </row>
    <row r="37" spans="1:9" x14ac:dyDescent="0.25">
      <c r="A37" s="56"/>
      <c r="B37" s="261" t="str">
        <f>'[1]Teine 40'!B37</f>
        <v>Salatikaste</v>
      </c>
      <c r="C37" s="192">
        <v>5</v>
      </c>
      <c r="D37" s="23">
        <f>C37*'[1]Teine 40'!D37/'[1]Teine 40'!C37</f>
        <v>35.25</v>
      </c>
      <c r="E37" s="23">
        <f>D37*'[1]Teine 40'!E37/'[1]Teine 40'!D37</f>
        <v>2.9999999999999995E-2</v>
      </c>
      <c r="F37" s="23">
        <f>E37*'[1]Teine 40'!F37/'[1]Teine 40'!E37</f>
        <v>2.8999999999999995</v>
      </c>
      <c r="G37" s="23">
        <f>F37*'[1]Teine 40'!G37/'[1]Teine 40'!F37</f>
        <v>9.9999999999999985E-3</v>
      </c>
    </row>
    <row r="38" spans="1:9" x14ac:dyDescent="0.25">
      <c r="A38" s="56"/>
      <c r="B38" s="25" t="s">
        <v>20</v>
      </c>
      <c r="C38" s="26">
        <v>14</v>
      </c>
      <c r="D38" s="26">
        <v>85.54</v>
      </c>
      <c r="E38" s="26">
        <v>2.0448</v>
      </c>
      <c r="F38" s="26">
        <v>3.5</v>
      </c>
      <c r="G38" s="26">
        <v>2.14</v>
      </c>
    </row>
    <row r="39" spans="1:9" x14ac:dyDescent="0.25">
      <c r="A39" s="56"/>
      <c r="B39" s="261" t="s">
        <v>136</v>
      </c>
      <c r="C39" s="200">
        <v>100</v>
      </c>
      <c r="D39" s="23"/>
      <c r="E39" s="23"/>
      <c r="F39" s="23"/>
      <c r="G39" s="23"/>
    </row>
    <row r="40" spans="1:9" x14ac:dyDescent="0.25">
      <c r="A40" s="56"/>
      <c r="B40" s="261" t="str">
        <f>'[1]Teine 40'!B40</f>
        <v>Rukkileiva- ja sepikutoodete valik (G)</v>
      </c>
      <c r="C40" s="192">
        <v>60</v>
      </c>
      <c r="D40" s="23">
        <f>C40*'[1]Teine 40'!D40/'[1]Teine 40'!C40</f>
        <v>138</v>
      </c>
      <c r="E40" s="23">
        <f>D40*'[1]Teine 40'!E40/'[1]Teine 40'!D40</f>
        <v>29.520000000000003</v>
      </c>
      <c r="F40" s="23">
        <f>E40*'[1]Teine 40'!F40/'[1]Teine 40'!E40</f>
        <v>0.99599999999999989</v>
      </c>
      <c r="G40" s="23">
        <f>F40*'[1]Teine 40'!G40/'[1]Teine 40'!F40</f>
        <v>4.7279999999999998</v>
      </c>
    </row>
    <row r="41" spans="1:9" x14ac:dyDescent="0.25">
      <c r="A41" s="57"/>
      <c r="B41" s="261" t="s">
        <v>126</v>
      </c>
      <c r="C41" s="255">
        <v>100</v>
      </c>
      <c r="D41" s="23">
        <f>C41*'[1]Teine 40'!D41/'[1]Teine 40'!C41</f>
        <v>46.4</v>
      </c>
      <c r="E41" s="23">
        <f>D41*'[1]Teine 40'!E41/'[1]Teine 40'!D41</f>
        <v>10.199999999999999</v>
      </c>
      <c r="F41" s="23">
        <f>E41*'[1]Teine 40'!F41/'[1]Teine 40'!E41</f>
        <v>0</v>
      </c>
      <c r="G41" s="23">
        <v>0.3</v>
      </c>
    </row>
    <row r="42" spans="1:9" x14ac:dyDescent="0.25">
      <c r="A42" s="49"/>
      <c r="B42" s="156" t="str">
        <f>'[1]Teine 40'!B42</f>
        <v>Kokku:</v>
      </c>
      <c r="C42" s="327"/>
      <c r="D42" s="330">
        <f>SUM(D30:D41)</f>
        <v>814.79085714285713</v>
      </c>
      <c r="E42" s="330">
        <f t="shared" ref="E42:G42" si="2">SUM(E30:E41)</f>
        <v>117.98303183760684</v>
      </c>
      <c r="F42" s="330">
        <f t="shared" si="2"/>
        <v>25.916951709401705</v>
      </c>
      <c r="G42" s="330">
        <f t="shared" si="2"/>
        <v>31.058188919413919</v>
      </c>
    </row>
    <row r="43" spans="1:9" x14ac:dyDescent="0.25">
      <c r="A43" s="14" t="s">
        <v>79</v>
      </c>
      <c r="B43" s="10" t="s">
        <v>133</v>
      </c>
      <c r="C43" s="385">
        <v>150</v>
      </c>
      <c r="D43" s="192">
        <f>1.07*176</f>
        <v>188.32000000000002</v>
      </c>
      <c r="E43" s="192">
        <f>1.07*4.6</f>
        <v>4.9219999999999997</v>
      </c>
      <c r="F43" s="192">
        <f>1.07*16.16</f>
        <v>17.2912</v>
      </c>
      <c r="G43" s="192">
        <f>1.07*5.75</f>
        <v>6.1525000000000007</v>
      </c>
    </row>
    <row r="44" spans="1:9" ht="24" customHeight="1" x14ac:dyDescent="0.25">
      <c r="A44" s="47" t="s">
        <v>11</v>
      </c>
      <c r="B44" s="387"/>
      <c r="C44" s="331" t="s">
        <v>2</v>
      </c>
      <c r="D44" s="331" t="s">
        <v>3</v>
      </c>
      <c r="E44" s="331" t="s">
        <v>4</v>
      </c>
      <c r="F44" s="331" t="s">
        <v>5</v>
      </c>
      <c r="G44" s="331" t="s">
        <v>6</v>
      </c>
      <c r="I44" s="15"/>
    </row>
    <row r="45" spans="1:9" x14ac:dyDescent="0.25">
      <c r="A45" s="383" t="s">
        <v>7</v>
      </c>
      <c r="B45" s="56" t="str">
        <f>'[1]Teine 40'!B45</f>
        <v>Selge köögiviljasupp kalaga</v>
      </c>
      <c r="C45" s="183">
        <v>175</v>
      </c>
      <c r="D45" s="23">
        <f>C45*'[1]Teine 40'!D45/'[1]Teine 40'!C45</f>
        <v>148.4</v>
      </c>
      <c r="E45" s="23">
        <f>D45*'[1]Teine 40'!E45/'[1]Teine 40'!D45</f>
        <v>17.800999999999998</v>
      </c>
      <c r="F45" s="23">
        <f>E45*'[1]Teine 40'!F45/'[1]Teine 40'!E45</f>
        <v>6.7549999999999999</v>
      </c>
      <c r="G45" s="23">
        <f>F45*'[1]Teine 40'!G45/'[1]Teine 40'!F45</f>
        <v>9.4499999999999993</v>
      </c>
    </row>
    <row r="46" spans="1:9" x14ac:dyDescent="0.25">
      <c r="B46" s="56" t="str">
        <f>'[1]Teine 40'!B46</f>
        <v>Hapukoor (L)</v>
      </c>
      <c r="C46" s="183">
        <v>20</v>
      </c>
      <c r="D46" s="23">
        <f>C46*'[1]Teine 40'!D46/'[1]Teine 40'!C46</f>
        <v>44.4</v>
      </c>
      <c r="E46" s="23">
        <f>D46*'[1]Teine 40'!E46/'[1]Teine 40'!D46</f>
        <v>0.76</v>
      </c>
      <c r="F46" s="23">
        <f>E46*'[1]Teine 40'!F46/'[1]Teine 40'!E46</f>
        <v>4.3</v>
      </c>
      <c r="G46" s="23">
        <f>F46*'[1]Teine 40'!G46/'[1]Teine 40'!F46</f>
        <v>0.66</v>
      </c>
    </row>
    <row r="47" spans="1:9" x14ac:dyDescent="0.25">
      <c r="A47" s="31"/>
      <c r="B47" s="388" t="str">
        <f>'[1]Teine 40'!B47</f>
        <v>Koorene kanasupp kollase karriga (L)</v>
      </c>
      <c r="C47" s="192">
        <v>175</v>
      </c>
      <c r="D47" s="23">
        <f>C47*'[1]Teine 40'!D47/'[1]Teine 40'!C47</f>
        <v>146.81800000000001</v>
      </c>
      <c r="E47" s="23">
        <f>D47*'[1]Teine 40'!E47/'[1]Teine 40'!D47</f>
        <v>13.097000000000001</v>
      </c>
      <c r="F47" s="23">
        <f>E47*'[1]Teine 40'!F47/'[1]Teine 40'!E47</f>
        <v>7.322000000000001</v>
      </c>
      <c r="G47" s="23">
        <f>F47*'[1]Teine 40'!G47/'[1]Teine 40'!F47</f>
        <v>9.8209999999999997</v>
      </c>
    </row>
    <row r="48" spans="1:9" ht="31.5" x14ac:dyDescent="0.25">
      <c r="A48" s="56"/>
      <c r="B48" s="261" t="str">
        <f>'[1]Teine 40'!B48</f>
        <v>Kreeka jogurt banaani, kakao ja röstitud kaerahelvestega (L, G)</v>
      </c>
      <c r="C48" s="192">
        <v>160</v>
      </c>
      <c r="D48" s="23">
        <f>C48*'[1]Teine 40'!D48/'[1]Teine 40'!C48</f>
        <v>243.2</v>
      </c>
      <c r="E48" s="23">
        <f>D48*'[1]Teine 40'!E48/'[1]Teine 40'!D48</f>
        <v>31.52</v>
      </c>
      <c r="F48" s="23">
        <f>E48*'[1]Teine 40'!F48/'[1]Teine 40'!E48</f>
        <v>6.94</v>
      </c>
      <c r="G48" s="23">
        <f>F48*'[1]Teine 40'!G48/'[1]Teine 40'!F48</f>
        <v>11.63</v>
      </c>
    </row>
    <row r="49" spans="1:7" x14ac:dyDescent="0.25">
      <c r="A49" s="248"/>
      <c r="B49" s="261" t="s">
        <v>136</v>
      </c>
      <c r="C49" s="255">
        <v>100</v>
      </c>
      <c r="D49" s="23"/>
      <c r="E49" s="23"/>
      <c r="F49" s="23"/>
      <c r="G49" s="23"/>
    </row>
    <row r="50" spans="1:7" x14ac:dyDescent="0.25">
      <c r="A50" s="24"/>
      <c r="B50" s="261" t="str">
        <f>'[1]Teine 40'!B50</f>
        <v>Rukkileiva- ja sepikutoodete valik (G)</v>
      </c>
      <c r="C50" s="26">
        <v>60</v>
      </c>
      <c r="D50" s="23">
        <f>C50*'[1]Teine 40'!D50/'[1]Teine 40'!C50</f>
        <v>138</v>
      </c>
      <c r="E50" s="23">
        <f>D50*'[1]Teine 40'!E50/'[1]Teine 40'!D50</f>
        <v>29.520000000000003</v>
      </c>
      <c r="F50" s="23">
        <f>E50*'[1]Teine 40'!F50/'[1]Teine 40'!E50</f>
        <v>0.99599999999999989</v>
      </c>
      <c r="G50" s="23">
        <f>F50*'[1]Teine 40'!G50/'[1]Teine 40'!F50</f>
        <v>4.7279999999999998</v>
      </c>
    </row>
    <row r="51" spans="1:7" x14ac:dyDescent="0.25">
      <c r="A51" s="24"/>
      <c r="B51" s="261" t="s">
        <v>127</v>
      </c>
      <c r="C51" s="26">
        <v>100</v>
      </c>
      <c r="D51" s="23">
        <f>C51*'[1]Teine 40'!D51/'[1]Teine 40'!C51</f>
        <v>32.4</v>
      </c>
      <c r="E51" s="23">
        <f>D51*'[1]Teine 40'!E51/'[1]Teine 40'!D51</f>
        <v>5.6</v>
      </c>
      <c r="F51" s="23">
        <f>E51*'[1]Teine 40'!F51/'[1]Teine 40'!E51</f>
        <v>0.19999999999999998</v>
      </c>
      <c r="G51" s="23">
        <f>F51*'[1]Teine 40'!G51/'[1]Teine 40'!F51</f>
        <v>0.59999999999999987</v>
      </c>
    </row>
    <row r="52" spans="1:7" x14ac:dyDescent="0.25">
      <c r="A52" s="50"/>
      <c r="B52" s="51" t="str">
        <f>'[1]Teine 40'!B52</f>
        <v>Kokku:</v>
      </c>
      <c r="C52" s="332"/>
      <c r="D52" s="333">
        <f>SUM(D45:D50)</f>
        <v>720.81799999999998</v>
      </c>
      <c r="E52" s="333">
        <f t="shared" ref="E52:G52" si="3">SUM(E45:E50)</f>
        <v>92.698000000000008</v>
      </c>
      <c r="F52" s="333">
        <f t="shared" si="3"/>
        <v>26.313000000000002</v>
      </c>
      <c r="G52" s="333">
        <f t="shared" si="3"/>
        <v>36.289000000000001</v>
      </c>
    </row>
    <row r="53" spans="1:7" x14ac:dyDescent="0.25">
      <c r="A53" s="14" t="s">
        <v>79</v>
      </c>
      <c r="B53" s="10" t="s">
        <v>82</v>
      </c>
      <c r="C53" s="276">
        <v>350</v>
      </c>
      <c r="D53" s="192">
        <f>308.9*1.16</f>
        <v>358.32399999999996</v>
      </c>
      <c r="E53" s="192">
        <f>24.83*1.16</f>
        <v>28.802799999999998</v>
      </c>
      <c r="F53" s="192">
        <f>14.48*1.16</f>
        <v>16.796800000000001</v>
      </c>
      <c r="G53" s="192">
        <f>10.78*1.16</f>
        <v>12.504799999999998</v>
      </c>
    </row>
    <row r="54" spans="1:7" ht="24" customHeight="1" x14ac:dyDescent="0.25">
      <c r="A54" s="182" t="s">
        <v>12</v>
      </c>
      <c r="B54" s="25"/>
      <c r="C54" s="334" t="s">
        <v>2</v>
      </c>
      <c r="D54" s="331" t="s">
        <v>3</v>
      </c>
      <c r="E54" s="331" t="s">
        <v>4</v>
      </c>
      <c r="F54" s="331" t="s">
        <v>5</v>
      </c>
      <c r="G54" s="331" t="s">
        <v>6</v>
      </c>
    </row>
    <row r="55" spans="1:7" x14ac:dyDescent="0.25">
      <c r="A55" s="389" t="s">
        <v>7</v>
      </c>
      <c r="B55" s="25" t="str">
        <f>'[1]Teine 40'!B55</f>
        <v>Pilaff veiselihaga</v>
      </c>
      <c r="C55" s="183">
        <v>175</v>
      </c>
      <c r="D55" s="23">
        <f>C55*'[1]Teine 40'!D55/'[1]Teine 40'!C55</f>
        <v>266</v>
      </c>
      <c r="E55" s="23">
        <f>D55*'[1]Teine 40'!E55/'[1]Teine 40'!D55</f>
        <v>34.475000000000001</v>
      </c>
      <c r="F55" s="23">
        <f>E55*'[1]Teine 40'!F55/'[1]Teine 40'!E55</f>
        <v>8.1480000000000015</v>
      </c>
      <c r="G55" s="23">
        <f>F55*'[1]Teine 40'!G55/'[1]Teine 40'!F55</f>
        <v>12.005000000000001</v>
      </c>
    </row>
    <row r="56" spans="1:7" x14ac:dyDescent="0.25">
      <c r="A56" s="389"/>
      <c r="B56" s="25" t="str">
        <f>'[1]Teine 40'!B56</f>
        <v>Kana-suvikõrvitsa ahjupasta (G)</v>
      </c>
      <c r="C56" s="183">
        <v>175</v>
      </c>
      <c r="D56" s="23">
        <f>C56*'[1]Teine 40'!D56/'[1]Teine 40'!C56</f>
        <v>239.75</v>
      </c>
      <c r="E56" s="23">
        <f>D56*'[1]Teine 40'!E56/'[1]Teine 40'!D56</f>
        <v>31.85</v>
      </c>
      <c r="F56" s="23">
        <f>E56*'[1]Teine 40'!F56/'[1]Teine 40'!E56</f>
        <v>4.3925000000000001</v>
      </c>
      <c r="G56" s="23">
        <f>F56*'[1]Teine 40'!G56/'[1]Teine 40'!F56</f>
        <v>7.7559999999999993</v>
      </c>
    </row>
    <row r="57" spans="1:7" x14ac:dyDescent="0.25">
      <c r="A57" s="389"/>
      <c r="B57" s="25" t="str">
        <f>'[1]Teine 40'!B57</f>
        <v>Ürdi-jogurtikaste (L)</v>
      </c>
      <c r="C57" s="390">
        <v>100</v>
      </c>
      <c r="D57" s="23">
        <f>C57*'[1]Teine 40'!D57/'[1]Teine 40'!C57</f>
        <v>80</v>
      </c>
      <c r="E57" s="23">
        <f>D57*'[1]Teine 40'!E57/'[1]Teine 40'!D57</f>
        <v>3.5799999999999996</v>
      </c>
      <c r="F57" s="23">
        <f>E57*'[1]Teine 40'!F57/'[1]Teine 40'!E57</f>
        <v>3.58</v>
      </c>
      <c r="G57" s="23">
        <f>F57*'[1]Teine 40'!G57/'[1]Teine 40'!F57</f>
        <v>8.34</v>
      </c>
    </row>
    <row r="58" spans="1:7" x14ac:dyDescent="0.25">
      <c r="A58" s="389"/>
      <c r="B58" s="25" t="str">
        <f>'[1]Teine 40'!B58</f>
        <v>Kapsa-kurgisalat tilliga</v>
      </c>
      <c r="C58" s="390">
        <v>50</v>
      </c>
      <c r="D58" s="23">
        <f>C58*'[1]Teine 40'!D58/'[1]Teine 40'!C58</f>
        <v>25.65</v>
      </c>
      <c r="E58" s="23">
        <f>D58*'[1]Teine 40'!E58/'[1]Teine 40'!D58</f>
        <v>2.0699999999999998</v>
      </c>
      <c r="F58" s="23">
        <f>E58*'[1]Teine 40'!F58/'[1]Teine 40'!E58</f>
        <v>1.6</v>
      </c>
      <c r="G58" s="23">
        <f>F58*'[1]Teine 40'!G58/'[1]Teine 40'!F58</f>
        <v>0.44</v>
      </c>
    </row>
    <row r="59" spans="1:7" x14ac:dyDescent="0.25">
      <c r="A59" s="389"/>
      <c r="B59" s="36" t="str">
        <f>'[1]Teine 40'!B59</f>
        <v>Jääsalat, valged oad (keedetud) , kaalikas (röstitud)</v>
      </c>
      <c r="C59" s="390">
        <v>50</v>
      </c>
      <c r="D59" s="23">
        <f>C59*'[1]Teine 40'!D59/'[1]Teine 40'!C59</f>
        <v>39.1</v>
      </c>
      <c r="E59" s="23">
        <f>D59*'[1]Teine 40'!E59/'[1]Teine 40'!D59</f>
        <v>5.9</v>
      </c>
      <c r="F59" s="23">
        <f>E59*'[1]Teine 40'!F59/'[1]Teine 40'!E59</f>
        <v>9.9500000000000005E-2</v>
      </c>
      <c r="G59" s="23">
        <f>F59*'[1]Teine 40'!G59/'[1]Teine 40'!F59</f>
        <v>2.2549999999999999</v>
      </c>
    </row>
    <row r="60" spans="1:7" x14ac:dyDescent="0.25">
      <c r="A60" s="391"/>
      <c r="B60" s="25" t="str">
        <f>'[1]Teine 40'!B60</f>
        <v>Salatikaste</v>
      </c>
      <c r="C60" s="392">
        <v>5</v>
      </c>
      <c r="D60" s="23">
        <f>C60*'[1]Teine 40'!D60/'[1]Teine 40'!C60</f>
        <v>35.25</v>
      </c>
      <c r="E60" s="23">
        <f>D60*'[1]Teine 40'!E60/'[1]Teine 40'!D60</f>
        <v>2.9999999999999995E-2</v>
      </c>
      <c r="F60" s="23">
        <f>E60*'[1]Teine 40'!F60/'[1]Teine 40'!E60</f>
        <v>2.8999999999999995</v>
      </c>
      <c r="G60" s="23">
        <f>F60*'[1]Teine 40'!G60/'[1]Teine 40'!F60</f>
        <v>9.9999999999999985E-3</v>
      </c>
    </row>
    <row r="61" spans="1:7" x14ac:dyDescent="0.25">
      <c r="A61" s="391"/>
      <c r="B61" s="25" t="str">
        <f>'[1]Teine 40'!B61</f>
        <v>Seemnesegu</v>
      </c>
      <c r="C61" s="179">
        <v>14</v>
      </c>
      <c r="D61" s="23">
        <f>C61*'[1]Teine 40'!D61/'[1]Teine 40'!C61</f>
        <v>85.54</v>
      </c>
      <c r="E61" s="23">
        <f>D61*'[1]Teine 40'!E61/'[1]Teine 40'!D61</f>
        <v>2.0448</v>
      </c>
      <c r="F61" s="23">
        <f>E61*'[1]Teine 40'!F61/'[1]Teine 40'!E61</f>
        <v>3.5</v>
      </c>
      <c r="G61" s="23">
        <f>F61*'[1]Teine 40'!G61/'[1]Teine 40'!F61</f>
        <v>2.14</v>
      </c>
    </row>
    <row r="62" spans="1:7" x14ac:dyDescent="0.25">
      <c r="A62" s="389"/>
      <c r="B62" s="25" t="s">
        <v>136</v>
      </c>
      <c r="C62" s="390">
        <v>100</v>
      </c>
      <c r="D62" s="23"/>
      <c r="E62" s="23"/>
      <c r="F62" s="23"/>
      <c r="G62" s="23"/>
    </row>
    <row r="63" spans="1:7" x14ac:dyDescent="0.25">
      <c r="A63" s="391"/>
      <c r="B63" s="25" t="str">
        <f>'[1]Teine 40'!B63</f>
        <v>Rukkileiva- ja sepikutoodete valik (G)</v>
      </c>
      <c r="C63" s="181">
        <v>60</v>
      </c>
      <c r="D63" s="23">
        <f>C63*'[1]Teine 40'!D63/'[1]Teine 40'!C63</f>
        <v>138</v>
      </c>
      <c r="E63" s="23">
        <f>D63*'[1]Teine 40'!E63/'[1]Teine 40'!D63</f>
        <v>29.520000000000003</v>
      </c>
      <c r="F63" s="23">
        <f>E63*'[1]Teine 40'!F63/'[1]Teine 40'!E63</f>
        <v>0.99599999999999989</v>
      </c>
      <c r="G63" s="23">
        <f>F63*'[1]Teine 40'!G63/'[1]Teine 40'!F63</f>
        <v>4.7279999999999998</v>
      </c>
    </row>
    <row r="64" spans="1:7" x14ac:dyDescent="0.25">
      <c r="A64" s="391"/>
      <c r="B64" s="25" t="s">
        <v>125</v>
      </c>
      <c r="C64" s="390">
        <v>100</v>
      </c>
      <c r="D64" s="23">
        <f>C64*'[1]Teine 40'!D64/'[1]Teine 40'!C64</f>
        <v>45.7</v>
      </c>
      <c r="E64" s="23">
        <f>D64*'[1]Teine 40'!E64/'[1]Teine 40'!D64</f>
        <v>10.01</v>
      </c>
      <c r="F64" s="23">
        <f>E64*'[1]Teine 40'!F64/'[1]Teine 40'!E64</f>
        <v>0.3</v>
      </c>
      <c r="G64" s="23">
        <f>F64*'[1]Teine 40'!G64/'[1]Teine 40'!F64</f>
        <v>0.5</v>
      </c>
    </row>
    <row r="65" spans="1:7" x14ac:dyDescent="0.25">
      <c r="A65" s="393"/>
      <c r="B65" s="323" t="s">
        <v>8</v>
      </c>
      <c r="C65" s="394"/>
      <c r="D65" s="395">
        <f>SUM(D55:D64)</f>
        <v>954.99</v>
      </c>
      <c r="E65" s="395">
        <f>SUM(E55:E64)</f>
        <v>119.4798</v>
      </c>
      <c r="F65" s="395">
        <f>SUM(F55:F64)</f>
        <v>25.515999999999998</v>
      </c>
      <c r="G65" s="395">
        <f>SUM(G55:G64)</f>
        <v>38.173999999999999</v>
      </c>
    </row>
    <row r="66" spans="1:7" x14ac:dyDescent="0.25">
      <c r="A66" s="396" t="s">
        <v>79</v>
      </c>
      <c r="B66" s="397" t="s">
        <v>83</v>
      </c>
      <c r="C66" s="298">
        <v>350</v>
      </c>
      <c r="D66" s="197">
        <f>1.16*406</f>
        <v>470.96</v>
      </c>
      <c r="E66" s="197">
        <f>36.84*1.16</f>
        <v>42.734400000000001</v>
      </c>
      <c r="F66" s="197">
        <f>6.72*1.16</f>
        <v>7.7951999999999995</v>
      </c>
      <c r="G66" s="197">
        <f>10.72*1.16</f>
        <v>12.4352</v>
      </c>
    </row>
    <row r="67" spans="1:7" x14ac:dyDescent="0.25">
      <c r="B67" s="16" t="s">
        <v>13</v>
      </c>
      <c r="D67" s="44">
        <f>AVERAGE(D17,D27,D42,D52,D65)</f>
        <v>840.02597142857144</v>
      </c>
      <c r="E67" s="44">
        <f>AVERAGE(E17,E27,E42,E52,E65)</f>
        <v>116.30712636752136</v>
      </c>
      <c r="F67" s="44">
        <f>AVERAGE(F17,F27,F42,F52,F65)</f>
        <v>25.688390341880343</v>
      </c>
      <c r="G67" s="44">
        <f>AVERAGE(G17,G27,G42,G52,G65)</f>
        <v>33.744317783882785</v>
      </c>
    </row>
    <row r="68" spans="1:7" x14ac:dyDescent="0.25">
      <c r="A68" s="303" t="s">
        <v>84</v>
      </c>
      <c r="B68" s="304"/>
    </row>
    <row r="69" spans="1:7" x14ac:dyDescent="0.25">
      <c r="A69" s="10" t="s">
        <v>63</v>
      </c>
    </row>
    <row r="70" spans="1:7" x14ac:dyDescent="0.25">
      <c r="A70" s="12"/>
      <c r="B70" s="12"/>
      <c r="C70" s="12"/>
      <c r="D70" s="12"/>
    </row>
  </sheetData>
  <pageMargins left="0.7" right="0.7" top="0.75" bottom="0.75" header="0.3" footer="0.3"/>
  <pageSetup paperSize="9" scale="61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04855-CFFA-449E-9F3E-1DDE13A03766}">
  <sheetPr>
    <pageSetUpPr fitToPage="1"/>
  </sheetPr>
  <dimension ref="A1:L70"/>
  <sheetViews>
    <sheetView zoomScale="80" zoomScaleNormal="80" workbookViewId="0">
      <selection activeCell="U73" sqref="U73:U74"/>
    </sheetView>
  </sheetViews>
  <sheetFormatPr defaultColWidth="9.28515625" defaultRowHeight="15.75" x14ac:dyDescent="0.25"/>
  <cols>
    <col min="1" max="1" width="22.5703125" style="12" customWidth="1"/>
    <col min="2" max="2" width="56.28515625" style="12" customWidth="1"/>
    <col min="3" max="3" width="9.5703125" style="12" customWidth="1"/>
    <col min="4" max="4" width="14.28515625" style="12" customWidth="1"/>
    <col min="5" max="5" width="15.28515625" style="12" customWidth="1"/>
    <col min="6" max="7" width="10.7109375" style="12" customWidth="1"/>
    <col min="8" max="16384" width="9.28515625" style="12"/>
  </cols>
  <sheetData>
    <row r="1" spans="1:11" ht="30" customHeight="1" x14ac:dyDescent="0.25">
      <c r="B1" s="98"/>
    </row>
    <row r="2" spans="1:11" ht="36.75" customHeight="1" x14ac:dyDescent="0.35">
      <c r="A2" s="7" t="str">
        <f>'Teine 41'!A2</f>
        <v>Koolilõuna 09.10-13.10.2023</v>
      </c>
      <c r="B2" s="8"/>
      <c r="C2" s="10" t="s">
        <v>66</v>
      </c>
      <c r="D2" s="11"/>
    </row>
    <row r="3" spans="1:11" s="9" customFormat="1" ht="24" customHeight="1" x14ac:dyDescent="0.25">
      <c r="A3" s="99" t="s">
        <v>1</v>
      </c>
      <c r="B3" s="100"/>
      <c r="C3" s="101" t="s">
        <v>2</v>
      </c>
      <c r="D3" s="101" t="s">
        <v>3</v>
      </c>
      <c r="E3" s="101" t="s">
        <v>4</v>
      </c>
      <c r="F3" s="101" t="s">
        <v>5</v>
      </c>
      <c r="G3" s="101" t="s">
        <v>6</v>
      </c>
    </row>
    <row r="4" spans="1:11" ht="17.25" customHeight="1" x14ac:dyDescent="0.25">
      <c r="A4" s="102" t="s">
        <v>7</v>
      </c>
      <c r="B4" s="217" t="str">
        <f>'Teine 41'!B4</f>
        <v>Kodune hakklihakaste (L, G)</v>
      </c>
      <c r="C4" s="192">
        <v>75</v>
      </c>
      <c r="D4" s="192">
        <f>C4*'Teine 41'!D4/'Teine 41'!C4</f>
        <v>154.5</v>
      </c>
      <c r="E4" s="192">
        <f>D4*'Teine 41'!E4/'Teine 41'!D4</f>
        <v>12.267857142857142</v>
      </c>
      <c r="F4" s="192">
        <f>E4*'Teine 41'!F4/'Teine 41'!E4</f>
        <v>7.4678571428571425</v>
      </c>
      <c r="G4" s="192">
        <f>F4*'Teine 41'!G4/'Teine 41'!F4</f>
        <v>7.0928571428571425</v>
      </c>
    </row>
    <row r="5" spans="1:11" ht="17.25" customHeight="1" x14ac:dyDescent="0.25">
      <c r="A5" s="102"/>
      <c r="B5" s="217" t="str">
        <f>'Teine 41'!B5</f>
        <v>Tomatine kanakaste basiilikuga</v>
      </c>
      <c r="C5" s="398">
        <v>75</v>
      </c>
      <c r="D5" s="192">
        <f>C5*'Teine 41'!D5/'Teine 41'!C5</f>
        <v>93.064285714285717</v>
      </c>
      <c r="E5" s="192">
        <f>D5*'Teine 41'!E5/'Teine 41'!D5</f>
        <v>12.632142857142856</v>
      </c>
      <c r="F5" s="192">
        <f>E5*'Teine 41'!F5/'Teine 41'!E5</f>
        <v>2.464285714285714</v>
      </c>
      <c r="G5" s="192">
        <f>F5*'Teine 41'!G5/'Teine 41'!F5</f>
        <v>5.6035714285714286</v>
      </c>
    </row>
    <row r="6" spans="1:11" x14ac:dyDescent="0.25">
      <c r="A6" s="56"/>
      <c r="B6" s="217" t="str">
        <f>'Teine 41'!B6</f>
        <v>Täisterapasta/pasta (G)</v>
      </c>
      <c r="C6" s="192">
        <v>125</v>
      </c>
      <c r="D6" s="192">
        <f>C6*'Teine 41'!D6/'Teine 41'!C6</f>
        <v>223.65</v>
      </c>
      <c r="E6" s="192">
        <f>D6*'Teine 41'!E6/'Teine 41'!D6</f>
        <v>42.625000000000007</v>
      </c>
      <c r="F6" s="192">
        <f>E6*'Teine 41'!F6/'Teine 41'!E6</f>
        <v>1.75</v>
      </c>
      <c r="G6" s="192">
        <f>F6*'Teine 41'!G6/'Teine 41'!F6</f>
        <v>8.25</v>
      </c>
    </row>
    <row r="7" spans="1:11" x14ac:dyDescent="0.25">
      <c r="A7" s="56"/>
      <c r="B7" s="217" t="str">
        <f>'Teine 41'!B7</f>
        <v>Tatar, aurutatud</v>
      </c>
      <c r="C7" s="192">
        <v>125</v>
      </c>
      <c r="D7" s="192">
        <f>C7*'Teine 41'!D7/'Teine 41'!C7</f>
        <v>93.72</v>
      </c>
      <c r="E7" s="192">
        <f>D7*'Teine 41'!E7/'Teine 41'!D7</f>
        <v>21.655000000000005</v>
      </c>
      <c r="F7" s="192">
        <f>E7*'Teine 41'!F7/'Teine 41'!E7</f>
        <v>0.12425000000000001</v>
      </c>
      <c r="G7" s="192">
        <f>F7*'Teine 41'!G7/'Teine 41'!F7</f>
        <v>2.4317500000000005</v>
      </c>
    </row>
    <row r="8" spans="1:11" x14ac:dyDescent="0.25">
      <c r="A8" s="56"/>
      <c r="B8" s="217" t="str">
        <f>'Teine 41'!B8</f>
        <v>Riis, aurutatud</v>
      </c>
      <c r="C8" s="192">
        <v>125</v>
      </c>
      <c r="D8" s="192">
        <f>C8*'Teine 41'!D8/'Teine 41'!C8</f>
        <v>161.52500000000001</v>
      </c>
      <c r="E8" s="192">
        <f>D8*'Teine 41'!E8/'Teine 41'!D8</f>
        <v>35.775000000000006</v>
      </c>
      <c r="F8" s="192">
        <f>E8*'Teine 41'!F8/'Teine 41'!E8</f>
        <v>0.31750000000000006</v>
      </c>
      <c r="G8" s="192">
        <f>F8*'Teine 41'!G8/'Teine 41'!F8</f>
        <v>3.6742500000000007</v>
      </c>
    </row>
    <row r="9" spans="1:11" x14ac:dyDescent="0.25">
      <c r="A9" s="56"/>
      <c r="B9" s="217" t="str">
        <f>'Teine 41'!B9</f>
        <v>Kapsa-paprika salat</v>
      </c>
      <c r="C9" s="192">
        <v>50</v>
      </c>
      <c r="D9" s="192">
        <f>C9*'Teine 41'!D9/'Teine 41'!C9</f>
        <v>10.95</v>
      </c>
      <c r="E9" s="192">
        <f>D9*'Teine 41'!E9/'Teine 41'!D9</f>
        <v>1.405</v>
      </c>
      <c r="F9" s="192">
        <f>E9*'Teine 41'!F9/'Teine 41'!E9</f>
        <v>0.13850000000000001</v>
      </c>
      <c r="G9" s="192">
        <f>F9*'Teine 41'!G9/'Teine 41'!F9</f>
        <v>0.56999999999999995</v>
      </c>
      <c r="H9" s="11"/>
      <c r="I9" s="11"/>
      <c r="J9" s="11"/>
      <c r="K9" s="11"/>
    </row>
    <row r="10" spans="1:11" x14ac:dyDescent="0.25">
      <c r="A10" s="56"/>
      <c r="B10" s="217" t="str">
        <f>'Teine 41'!B10</f>
        <v>Peet, mais, porgand</v>
      </c>
      <c r="C10" s="192">
        <v>50</v>
      </c>
      <c r="D10" s="192">
        <f>C10*'Teine 41'!D10/'Teine 41'!C10</f>
        <v>23.8</v>
      </c>
      <c r="E10" s="192">
        <f>D10*'Teine 41'!E10/'Teine 41'!D10</f>
        <v>4.3049999999999997</v>
      </c>
      <c r="F10" s="192">
        <f>E10*'Teine 41'!F10/'Teine 41'!E10</f>
        <v>0.158</v>
      </c>
      <c r="G10" s="192">
        <f>F10*'Teine 41'!G10/'Teine 41'!F10</f>
        <v>0.66</v>
      </c>
      <c r="H10" s="11"/>
      <c r="I10" s="11"/>
      <c r="J10" s="11"/>
      <c r="K10" s="11"/>
    </row>
    <row r="11" spans="1:11" x14ac:dyDescent="0.25">
      <c r="A11" s="56"/>
      <c r="B11" s="217" t="str">
        <f>'Teine 41'!B11</f>
        <v>Salatikaste</v>
      </c>
      <c r="C11" s="192">
        <v>5</v>
      </c>
      <c r="D11" s="192">
        <f>C11*'Teine 41'!D11/'Teine 41'!C11</f>
        <v>35.25</v>
      </c>
      <c r="E11" s="192">
        <f>D11*'Teine 41'!E11/'Teine 41'!D11</f>
        <v>2.9999999999999995E-2</v>
      </c>
      <c r="F11" s="192">
        <f>E11*'Teine 41'!F11/'Teine 41'!E11</f>
        <v>3.8999999999999995</v>
      </c>
      <c r="G11" s="192">
        <f>F11*'Teine 41'!G11/'Teine 41'!F11</f>
        <v>9.9999999999999985E-3</v>
      </c>
      <c r="H11" s="11"/>
      <c r="I11" s="11"/>
      <c r="J11" s="11"/>
      <c r="K11" s="11"/>
    </row>
    <row r="12" spans="1:11" x14ac:dyDescent="0.25">
      <c r="A12" s="56"/>
      <c r="B12" s="217" t="str">
        <f>'Teine 41'!B12</f>
        <v>Seemnesegu</v>
      </c>
      <c r="C12" s="200">
        <v>15</v>
      </c>
      <c r="D12" s="192">
        <f>C12*'Teine 41'!D12/'Teine 41'!C12</f>
        <v>91.65</v>
      </c>
      <c r="E12" s="192">
        <f>D12*'Teine 41'!E12/'Teine 41'!D12</f>
        <v>2.13</v>
      </c>
      <c r="F12" s="192">
        <f>E12*'Teine 41'!F12/'Teine 41'!E12</f>
        <v>8.0399999999999991</v>
      </c>
      <c r="G12" s="192">
        <f>F12*'Teine 41'!G12/'Teine 41'!F12</f>
        <v>3.36</v>
      </c>
      <c r="H12" s="11"/>
      <c r="I12" s="11"/>
      <c r="J12" s="11"/>
      <c r="K12" s="11"/>
    </row>
    <row r="13" spans="1:11" x14ac:dyDescent="0.25">
      <c r="A13" s="56"/>
      <c r="B13" s="217" t="s">
        <v>138</v>
      </c>
      <c r="C13" s="399">
        <v>100</v>
      </c>
      <c r="D13" s="398"/>
      <c r="E13" s="398"/>
      <c r="F13" s="398"/>
      <c r="G13" s="398"/>
      <c r="H13" s="11"/>
      <c r="I13" s="11"/>
      <c r="J13" s="11"/>
      <c r="K13" s="11"/>
    </row>
    <row r="14" spans="1:11" x14ac:dyDescent="0.25">
      <c r="A14" s="56"/>
      <c r="B14" s="217" t="str">
        <f>'Teine 41'!B14</f>
        <v>Rukkileiva- ja sepikutoodete valik (G)</v>
      </c>
      <c r="C14" s="192">
        <v>60</v>
      </c>
      <c r="D14" s="192">
        <f>C14*'Teine 41'!D13/'Teine 41'!C13</f>
        <v>0</v>
      </c>
      <c r="E14" s="192">
        <f>D14*'Teine 41'!E14/'Teine 41'!D14</f>
        <v>0</v>
      </c>
      <c r="F14" s="192">
        <f>E14*'Teine 41'!F14/'Teine 41'!E14</f>
        <v>0</v>
      </c>
      <c r="G14" s="192">
        <f>F14*'Teine 41'!G14/'Teine 41'!F14</f>
        <v>0</v>
      </c>
    </row>
    <row r="15" spans="1:11" x14ac:dyDescent="0.25">
      <c r="A15" s="56"/>
      <c r="B15" s="217" t="s">
        <v>128</v>
      </c>
      <c r="C15" s="255">
        <v>100</v>
      </c>
      <c r="D15" s="192">
        <f>C15*'Teine 41'!D15/'Teine 41'!C15</f>
        <v>48.3</v>
      </c>
      <c r="E15" s="192">
        <f>D15*'Teine 41'!E15/'Teine 41'!D15</f>
        <v>10.9</v>
      </c>
      <c r="F15" s="192">
        <f>E15*'Teine 41'!F15/'Teine 41'!E15</f>
        <v>0</v>
      </c>
      <c r="G15" s="192">
        <v>0</v>
      </c>
    </row>
    <row r="16" spans="1:11" s="41" customFormat="1" x14ac:dyDescent="0.25">
      <c r="A16" s="65"/>
      <c r="B16" s="257" t="str">
        <f>'Teine 41'!B16</f>
        <v>Kokku:</v>
      </c>
      <c r="C16" s="150"/>
      <c r="D16" s="85">
        <f>SUM(D4:D15)</f>
        <v>936.4092857142856</v>
      </c>
      <c r="E16" s="85">
        <f t="shared" ref="E16:G16" si="0">SUM(E4:E15)</f>
        <v>143.72500000000002</v>
      </c>
      <c r="F16" s="85">
        <f t="shared" si="0"/>
        <v>24.360392857142855</v>
      </c>
      <c r="G16" s="85">
        <f t="shared" si="0"/>
        <v>31.652428571428572</v>
      </c>
    </row>
    <row r="17" spans="1:8" ht="31.5" x14ac:dyDescent="0.25">
      <c r="A17" s="14" t="s">
        <v>79</v>
      </c>
      <c r="B17" s="12" t="s">
        <v>124</v>
      </c>
      <c r="C17" s="314">
        <v>150</v>
      </c>
      <c r="D17" s="26">
        <f>1.07*142.2</f>
        <v>152.154</v>
      </c>
      <c r="E17" s="26">
        <f>1.07*10.365</f>
        <v>11.09055</v>
      </c>
      <c r="F17" s="26">
        <f>1.07*4.005</f>
        <v>4.2853500000000002</v>
      </c>
      <c r="G17" s="26">
        <f>1.07*13.365</f>
        <v>14.300550000000001</v>
      </c>
    </row>
    <row r="18" spans="1:8" s="9" customFormat="1" x14ac:dyDescent="0.25">
      <c r="A18" s="99" t="s">
        <v>9</v>
      </c>
      <c r="B18" s="258"/>
      <c r="C18" s="101" t="s">
        <v>2</v>
      </c>
      <c r="D18" s="101" t="s">
        <v>3</v>
      </c>
      <c r="E18" s="101" t="s">
        <v>4</v>
      </c>
      <c r="F18" s="101" t="s">
        <v>5</v>
      </c>
      <c r="G18" s="101" t="s">
        <v>6</v>
      </c>
    </row>
    <row r="19" spans="1:8" x14ac:dyDescent="0.25">
      <c r="A19" s="102" t="s">
        <v>7</v>
      </c>
      <c r="B19" s="217" t="str">
        <f>'Teine 41'!B19</f>
        <v xml:space="preserve">Värskekapsasupp veiselihaga </v>
      </c>
      <c r="C19" s="23">
        <v>175</v>
      </c>
      <c r="D19" s="23">
        <f>C19*'Teine 41'!D19/'Teine 41'!C19</f>
        <v>187.25</v>
      </c>
      <c r="E19" s="23">
        <f>D19*'Teine 41'!E19/'Teine 41'!D19</f>
        <v>16.029999999999998</v>
      </c>
      <c r="F19" s="23">
        <f>E19*'Teine 41'!F19/'Teine 41'!E19</f>
        <v>6.335</v>
      </c>
      <c r="G19" s="23">
        <f>F19*'Teine 41'!G19/'Teine 41'!F19</f>
        <v>7.8749999999999991</v>
      </c>
    </row>
    <row r="20" spans="1:8" x14ac:dyDescent="0.25">
      <c r="A20" s="102"/>
      <c r="B20" s="217" t="str">
        <f>'Teine 41'!B20</f>
        <v>Tomatine kalasupp kikerhernestega</v>
      </c>
      <c r="C20" s="23">
        <v>175</v>
      </c>
      <c r="D20" s="23">
        <f>C20*'Teine 41'!D20/'Teine 41'!C20</f>
        <v>214.249</v>
      </c>
      <c r="E20" s="23">
        <f>D20*'Teine 41'!E20/'Teine 41'!D20</f>
        <v>20.327999999999999</v>
      </c>
      <c r="F20" s="23">
        <f>E20*'Teine 41'!F20/'Teine 41'!E20</f>
        <v>11.962999999999999</v>
      </c>
      <c r="G20" s="23">
        <f>F20*'Teine 41'!G20/'Teine 41'!F20</f>
        <v>9.0019999999999989</v>
      </c>
    </row>
    <row r="21" spans="1:8" x14ac:dyDescent="0.25">
      <c r="A21" s="102"/>
      <c r="B21" s="217" t="str">
        <f>'Teine 41'!B21</f>
        <v>Hapukoor</v>
      </c>
      <c r="C21" s="23">
        <v>10</v>
      </c>
      <c r="D21" s="23">
        <f>C21*'Teine 41'!D21/'Teine 41'!C21</f>
        <v>22.2</v>
      </c>
      <c r="E21" s="23">
        <f>D21*'Teine 41'!E21/'Teine 41'!D21</f>
        <v>0.38</v>
      </c>
      <c r="F21" s="23">
        <f>E21*'Teine 41'!F21/'Teine 41'!E21</f>
        <v>2.15</v>
      </c>
      <c r="G21" s="23">
        <f>F21*'Teine 41'!G21/'Teine 41'!F21</f>
        <v>0.33</v>
      </c>
    </row>
    <row r="22" spans="1:8" x14ac:dyDescent="0.25">
      <c r="A22" s="102"/>
      <c r="B22" s="217" t="str">
        <f>'Teine 41'!B22</f>
        <v>Panna cotta maasikapüreega (L)</v>
      </c>
      <c r="C22" s="192">
        <v>160</v>
      </c>
      <c r="D22" s="23">
        <f>C22*'Teine 41'!D22/'Teine 41'!C22</f>
        <v>196.8</v>
      </c>
      <c r="E22" s="23">
        <f>D22*'Teine 41'!E22/'Teine 41'!D22</f>
        <v>24.6</v>
      </c>
      <c r="F22" s="23">
        <f>E22*'Teine 41'!F22/'Teine 41'!E22</f>
        <v>6.27</v>
      </c>
      <c r="G22" s="23">
        <f>F22*'Teine 41'!G22/'Teine 41'!F22</f>
        <v>5.8079999999999998</v>
      </c>
    </row>
    <row r="23" spans="1:8" x14ac:dyDescent="0.25">
      <c r="A23" s="56"/>
      <c r="B23" s="217" t="s">
        <v>138</v>
      </c>
      <c r="C23" s="192">
        <v>100</v>
      </c>
      <c r="D23" s="23"/>
      <c r="E23" s="23"/>
      <c r="F23" s="23"/>
      <c r="G23" s="23"/>
      <c r="H23" s="11"/>
    </row>
    <row r="24" spans="1:8" x14ac:dyDescent="0.25">
      <c r="A24" s="57"/>
      <c r="B24" s="217" t="str">
        <f>'Teine 41'!B24</f>
        <v>Rukkileiva- ja sepikutoodete valik (G)</v>
      </c>
      <c r="C24" s="200">
        <v>60</v>
      </c>
      <c r="D24" s="23">
        <f>C24*'Teine 41'!D24/'Teine 41'!C24</f>
        <v>138</v>
      </c>
      <c r="E24" s="23">
        <f>D24*'Teine 41'!E24/'Teine 41'!D24</f>
        <v>29.520000000000003</v>
      </c>
      <c r="F24" s="23">
        <f>E24*'Teine 41'!F24/'Teine 41'!E24</f>
        <v>0.99599999999999989</v>
      </c>
      <c r="G24" s="23">
        <f>F24*'Teine 41'!G24/'Teine 41'!F24</f>
        <v>4.7279999999999998</v>
      </c>
    </row>
    <row r="25" spans="1:8" x14ac:dyDescent="0.25">
      <c r="A25" s="102"/>
      <c r="B25" s="217" t="s">
        <v>130</v>
      </c>
      <c r="C25" s="192">
        <v>60</v>
      </c>
      <c r="D25" s="23">
        <f>C25*'Teine 41'!D25/'Teine 41'!C25</f>
        <v>19.440000000000001</v>
      </c>
      <c r="E25" s="23">
        <f>D25*'Teine 41'!E25/'Teine 41'!D25</f>
        <v>3.3600000000000003</v>
      </c>
      <c r="F25" s="23">
        <f>E25*'Teine 41'!F25/'Teine 41'!E25</f>
        <v>0.12000000000000004</v>
      </c>
      <c r="G25" s="23">
        <f>F25*'Teine 41'!G25/'Teine 41'!F25</f>
        <v>0.3600000000000001</v>
      </c>
    </row>
    <row r="26" spans="1:8" s="41" customFormat="1" x14ac:dyDescent="0.25">
      <c r="A26" s="69"/>
      <c r="B26" s="257" t="str">
        <f>'Teine 41'!B26</f>
        <v>Kokku:</v>
      </c>
      <c r="C26" s="150"/>
      <c r="D26" s="85">
        <f>SUM(D19:D25)</f>
        <v>777.93900000000008</v>
      </c>
      <c r="E26" s="85">
        <f>SUM(E19:E25)</f>
        <v>94.218000000000004</v>
      </c>
      <c r="F26" s="85">
        <f>SUM(F19:F25)</f>
        <v>27.833999999999996</v>
      </c>
      <c r="G26" s="85">
        <f>SUM(G19:G25)</f>
        <v>28.102999999999994</v>
      </c>
    </row>
    <row r="27" spans="1:8" ht="31.5" x14ac:dyDescent="0.25">
      <c r="A27" s="14" t="s">
        <v>79</v>
      </c>
      <c r="B27" s="12" t="s">
        <v>85</v>
      </c>
      <c r="C27" s="314">
        <v>350</v>
      </c>
      <c r="D27" s="262">
        <f>240.3*1.16</f>
        <v>278.74799999999999</v>
      </c>
      <c r="E27" s="262">
        <f>33.12*1.16</f>
        <v>38.419199999999996</v>
      </c>
      <c r="F27" s="262">
        <f>5.16*1.16</f>
        <v>5.9855999999999998</v>
      </c>
      <c r="G27" s="262">
        <f>8.01*1.16</f>
        <v>9.291599999999999</v>
      </c>
    </row>
    <row r="28" spans="1:8" s="9" customFormat="1" x14ac:dyDescent="0.25">
      <c r="A28" s="103" t="s">
        <v>10</v>
      </c>
      <c r="B28" s="258"/>
      <c r="C28" s="101" t="s">
        <v>2</v>
      </c>
      <c r="D28" s="101" t="s">
        <v>3</v>
      </c>
      <c r="E28" s="101" t="s">
        <v>4</v>
      </c>
      <c r="F28" s="101" t="s">
        <v>5</v>
      </c>
      <c r="G28" s="101" t="s">
        <v>6</v>
      </c>
    </row>
    <row r="29" spans="1:8" x14ac:dyDescent="0.25">
      <c r="A29" s="102" t="s">
        <v>7</v>
      </c>
      <c r="B29" s="217" t="str">
        <f>'Teine 41'!B29</f>
        <v>Vahemere ürtidega hautatud kana poolkoib (portsjon)</v>
      </c>
      <c r="C29" s="23">
        <v>50</v>
      </c>
      <c r="D29" s="23">
        <f>C29*'Teine 41'!D29/'Teine 41'!C29</f>
        <v>98.571428571428569</v>
      </c>
      <c r="E29" s="23">
        <f>D29*'Teine 41'!E29/'Teine 41'!D29</f>
        <v>0.21428571428571427</v>
      </c>
      <c r="F29" s="23">
        <f>E29*'Teine 41'!F29/'Teine 41'!E29</f>
        <v>4.2857142857142856</v>
      </c>
      <c r="G29" s="23">
        <f>F29*'Teine 41'!G29/'Teine 41'!F29</f>
        <v>14.785714285714285</v>
      </c>
    </row>
    <row r="30" spans="1:8" x14ac:dyDescent="0.25">
      <c r="A30" s="102"/>
      <c r="B30" s="217" t="str">
        <f>'Teine 41'!B30</f>
        <v>Ahjus küpsetatud kalafilee tilli ja sidruniga</v>
      </c>
      <c r="C30" s="23">
        <v>50</v>
      </c>
      <c r="D30" s="23">
        <f>C30*'Teine 41'!D30/'Teine 41'!C30</f>
        <v>160</v>
      </c>
      <c r="E30" s="23">
        <f>D30*'Teine 41'!E30/'Teine 41'!D30</f>
        <v>5.16</v>
      </c>
      <c r="F30" s="23">
        <f>E30*'Teine 41'!F30/'Teine 41'!E30</f>
        <v>4.0999999999999996</v>
      </c>
      <c r="G30" s="23">
        <f>F30*'Teine 41'!G30/'Teine 41'!F30</f>
        <v>12.8</v>
      </c>
    </row>
    <row r="31" spans="1:8" x14ac:dyDescent="0.25">
      <c r="A31" s="102"/>
      <c r="B31" s="217" t="str">
        <f>'Teine 41'!B31</f>
        <v>Kartuli-porgandipüree (L)</v>
      </c>
      <c r="C31" s="23">
        <v>125</v>
      </c>
      <c r="D31" s="23">
        <f>C31*'Teine 41'!D31/'Teine 41'!C31</f>
        <v>105.75</v>
      </c>
      <c r="E31" s="23">
        <f>D31*'Teine 41'!E31/'Teine 41'!D31</f>
        <v>15.750000000000002</v>
      </c>
      <c r="F31" s="23">
        <f>E31*'Teine 41'!F31/'Teine 41'!E31</f>
        <v>3.3875000000000006</v>
      </c>
      <c r="G31" s="23">
        <f>F31*'Teine 41'!G31/'Teine 41'!F31</f>
        <v>2.3125000000000004</v>
      </c>
    </row>
    <row r="32" spans="1:8" x14ac:dyDescent="0.25">
      <c r="A32" s="56"/>
      <c r="B32" s="217" t="str">
        <f>'Teine 41'!B32</f>
        <v>Kolme riisi segu, aurutatud</v>
      </c>
      <c r="C32" s="192">
        <v>125</v>
      </c>
      <c r="D32" s="23">
        <f>C32*'Teine 41'!D32/'Teine 41'!C32</f>
        <v>93.724999999999994</v>
      </c>
      <c r="E32" s="23">
        <f>D32*'Teine 41'!E32/'Teine 41'!D32</f>
        <v>21.65</v>
      </c>
      <c r="F32" s="23">
        <f>E32*'Teine 41'!F32/'Teine 41'!E32</f>
        <v>0.125</v>
      </c>
      <c r="G32" s="23">
        <f>F32*'Teine 41'!G32/'Teine 41'!F32</f>
        <v>2.4249999999999998</v>
      </c>
    </row>
    <row r="33" spans="1:10" s="9" customFormat="1" x14ac:dyDescent="0.25">
      <c r="A33" s="56"/>
      <c r="B33" s="217" t="str">
        <f>'Teine 41'!B33</f>
        <v>Läätsed, keedetud</v>
      </c>
      <c r="C33" s="192">
        <v>125</v>
      </c>
      <c r="D33" s="23">
        <f>C33*'Teine 41'!D33/'Teine 41'!C33</f>
        <v>180</v>
      </c>
      <c r="E33" s="23">
        <f>D33*'Teine 41'!E33/'Teine 41'!D33</f>
        <v>27.875</v>
      </c>
      <c r="F33" s="23">
        <f>E33*'Teine 41'!F33/'Teine 41'!E33</f>
        <v>0.85000000000000009</v>
      </c>
      <c r="G33" s="23">
        <f>F33*'Teine 41'!G33/'Teine 41'!F33</f>
        <v>12.749999999999998</v>
      </c>
    </row>
    <row r="34" spans="1:10" x14ac:dyDescent="0.25">
      <c r="A34" s="56"/>
      <c r="B34" s="217" t="str">
        <f>'Teine 41'!B34</f>
        <v>Soe valgekaste (L, G)</v>
      </c>
      <c r="C34" s="192">
        <v>50</v>
      </c>
      <c r="D34" s="23">
        <f>C34*'Teine 41'!D34/'Teine 41'!C34</f>
        <v>73.77</v>
      </c>
      <c r="E34" s="23">
        <f>D34*'Teine 41'!E34/'Teine 41'!D34</f>
        <v>5.59</v>
      </c>
      <c r="F34" s="23">
        <f>E34*'Teine 41'!F34/'Teine 41'!E34</f>
        <v>4.76</v>
      </c>
      <c r="G34" s="23">
        <f>F34*'Teine 41'!G34/'Teine 41'!F34</f>
        <v>2.21</v>
      </c>
      <c r="H34" s="11"/>
      <c r="I34" s="11"/>
      <c r="J34" s="11"/>
    </row>
    <row r="35" spans="1:10" x14ac:dyDescent="0.25">
      <c r="A35" s="57"/>
      <c r="B35" s="217" t="str">
        <f>'Teine 41'!B35</f>
        <v>Kõrvitsa-porgandisalat</v>
      </c>
      <c r="C35" s="192">
        <v>50</v>
      </c>
      <c r="D35" s="23">
        <f>C35*'Teine 41'!D35/'Teine 41'!C35</f>
        <v>13.05</v>
      </c>
      <c r="E35" s="23">
        <f>D35*'Teine 41'!E35/'Teine 41'!D35</f>
        <v>2.2000000000000002</v>
      </c>
      <c r="F35" s="23">
        <f>E35*'Teine 41'!F35/'Teine 41'!E35</f>
        <v>8.3500000000000005E-2</v>
      </c>
      <c r="G35" s="23">
        <f>F35*'Teine 41'!G35/'Teine 41'!F35</f>
        <v>0.3</v>
      </c>
    </row>
    <row r="36" spans="1:10" x14ac:dyDescent="0.25">
      <c r="A36" s="57"/>
      <c r="B36" s="217" t="str">
        <f>'Teine 41'!B36</f>
        <v>Kapsas, kikerherned, punane redis</v>
      </c>
      <c r="C36" s="192">
        <v>50</v>
      </c>
      <c r="D36" s="23">
        <f>C36*'Teine 41'!D36/'Teine 41'!C36</f>
        <v>23.45</v>
      </c>
      <c r="E36" s="23">
        <f>D36*'Teine 41'!E36/'Teine 41'!D36</f>
        <v>2.8099999999999996</v>
      </c>
      <c r="F36" s="23">
        <f>E36*'Teine 41'!F36/'Teine 41'!E36</f>
        <v>0.35999999999999993</v>
      </c>
      <c r="G36" s="23">
        <f>F36*'Teine 41'!G36/'Teine 41'!F36</f>
        <v>1.2299999999999998</v>
      </c>
    </row>
    <row r="37" spans="1:10" x14ac:dyDescent="0.25">
      <c r="A37" s="57"/>
      <c r="B37" s="217" t="str">
        <f>'Teine 41'!B37</f>
        <v>Salatikaste</v>
      </c>
      <c r="C37" s="192">
        <v>5</v>
      </c>
      <c r="D37" s="23">
        <f>C37*'Teine 41'!D37/'Teine 41'!C37</f>
        <v>35.25</v>
      </c>
      <c r="E37" s="23">
        <f>D37*'Teine 41'!E37/'Teine 41'!D37</f>
        <v>2.9999999999999995E-2</v>
      </c>
      <c r="F37" s="23">
        <f>E37*'Teine 41'!F37/'Teine 41'!E37</f>
        <v>3.8999999999999995</v>
      </c>
      <c r="G37" s="23">
        <f>F37*'Teine 41'!G37/'Teine 41'!F37</f>
        <v>9.9999999999999985E-3</v>
      </c>
    </row>
    <row r="38" spans="1:10" x14ac:dyDescent="0.25">
      <c r="A38" s="102"/>
      <c r="B38" s="217" t="str">
        <f>'Teine 41'!B38</f>
        <v>Seemnesegu</v>
      </c>
      <c r="C38" s="200">
        <v>15</v>
      </c>
      <c r="D38" s="23">
        <f>C38*'Teine 41'!D38/'Teine 41'!C38</f>
        <v>91.65</v>
      </c>
      <c r="E38" s="23">
        <f>D38*'Teine 41'!E38/'Teine 41'!D38</f>
        <v>2.13</v>
      </c>
      <c r="F38" s="23">
        <f>E38*'Teine 41'!F38/'Teine 41'!E38</f>
        <v>8.0399999999999991</v>
      </c>
      <c r="G38" s="23">
        <f>F38*'Teine 41'!G38/'Teine 41'!F38</f>
        <v>3.36</v>
      </c>
    </row>
    <row r="39" spans="1:10" x14ac:dyDescent="0.25">
      <c r="A39" s="57"/>
      <c r="B39" s="217" t="s">
        <v>138</v>
      </c>
      <c r="C39" s="200">
        <v>100</v>
      </c>
      <c r="D39" s="23"/>
      <c r="E39" s="23"/>
      <c r="F39" s="23"/>
      <c r="G39" s="23"/>
    </row>
    <row r="40" spans="1:10" x14ac:dyDescent="0.25">
      <c r="A40" s="57"/>
      <c r="B40" s="217" t="str">
        <f>'Teine 41'!B40</f>
        <v>Rukkileiva- ja sepikutoodete valik (G)</v>
      </c>
      <c r="C40" s="259">
        <v>60</v>
      </c>
      <c r="D40" s="23">
        <f>C40*'Teine 41'!D40/'Teine 41'!C40</f>
        <v>138</v>
      </c>
      <c r="E40" s="23">
        <f>D40*'Teine 41'!E40/'Teine 41'!D40</f>
        <v>29.520000000000003</v>
      </c>
      <c r="F40" s="23">
        <f>E40*'Teine 41'!F40/'Teine 41'!E40</f>
        <v>0.99599999999999989</v>
      </c>
      <c r="G40" s="23">
        <f>F40*'Teine 41'!G40/'Teine 41'!F40</f>
        <v>4.7279999999999998</v>
      </c>
    </row>
    <row r="41" spans="1:10" x14ac:dyDescent="0.25">
      <c r="A41" s="57"/>
      <c r="B41" s="217" t="s">
        <v>131</v>
      </c>
      <c r="C41" s="255">
        <v>100</v>
      </c>
      <c r="D41" s="23">
        <f>C41*'Teine 41'!D41/'Teine 41'!C41</f>
        <v>46.4</v>
      </c>
      <c r="E41" s="23">
        <f>D41*'Teine 41'!E41/'Teine 41'!D41</f>
        <v>10.199999999999999</v>
      </c>
      <c r="F41" s="23">
        <f>E41*'Teine 41'!F41/'Teine 41'!E41</f>
        <v>0</v>
      </c>
      <c r="G41" s="23">
        <v>0.3</v>
      </c>
    </row>
    <row r="42" spans="1:10" s="41" customFormat="1" x14ac:dyDescent="0.25">
      <c r="A42" s="69"/>
      <c r="B42" s="257" t="str">
        <f>'Teine 41'!B42</f>
        <v>Kokku:</v>
      </c>
      <c r="C42" s="150"/>
      <c r="D42" s="85">
        <f>SUM(D30:D41)</f>
        <v>961.04499999999996</v>
      </c>
      <c r="E42" s="85">
        <f t="shared" ref="E42:G42" si="1">SUM(E29:E41)</f>
        <v>123.12928571428573</v>
      </c>
      <c r="F42" s="85">
        <f t="shared" si="1"/>
        <v>30.887714285714285</v>
      </c>
      <c r="G42" s="85">
        <f t="shared" si="1"/>
        <v>57.211214285714277</v>
      </c>
    </row>
    <row r="43" spans="1:10" ht="31.5" x14ac:dyDescent="0.25">
      <c r="A43" s="14" t="s">
        <v>79</v>
      </c>
      <c r="B43" s="12" t="s">
        <v>86</v>
      </c>
      <c r="C43" s="314">
        <v>150</v>
      </c>
      <c r="D43" s="26">
        <f>1.07*176.5</f>
        <v>188.85500000000002</v>
      </c>
      <c r="E43" s="26">
        <f>1.07*20.8</f>
        <v>22.256000000000004</v>
      </c>
      <c r="F43" s="26">
        <f>1.07*9.65</f>
        <v>10.325500000000002</v>
      </c>
      <c r="G43" s="26">
        <f>1.07*6.825</f>
        <v>7.3027500000000005</v>
      </c>
    </row>
    <row r="44" spans="1:10" s="9" customFormat="1" x14ac:dyDescent="0.25">
      <c r="A44" s="103" t="s">
        <v>11</v>
      </c>
      <c r="B44" s="258"/>
      <c r="C44" s="101" t="s">
        <v>2</v>
      </c>
      <c r="D44" s="101" t="s">
        <v>3</v>
      </c>
      <c r="E44" s="101" t="s">
        <v>4</v>
      </c>
      <c r="F44" s="101" t="s">
        <v>5</v>
      </c>
      <c r="G44" s="101" t="s">
        <v>6</v>
      </c>
    </row>
    <row r="45" spans="1:10" x14ac:dyDescent="0.25">
      <c r="A45" s="102" t="s">
        <v>7</v>
      </c>
      <c r="B45" s="217" t="str">
        <f>'Teine 41'!B45</f>
        <v>Guljašš-supp sealihaga</v>
      </c>
      <c r="C45" s="23">
        <v>175</v>
      </c>
      <c r="D45" s="23">
        <f>C45*'Teine 41'!D45/'Teine 41'!C45</f>
        <v>157.5</v>
      </c>
      <c r="E45" s="23">
        <f>D45*'Teine 41'!E45/'Teine 41'!D45</f>
        <v>22.295000000000002</v>
      </c>
      <c r="F45" s="23">
        <f>E45*'Teine 41'!F45/'Teine 41'!E45</f>
        <v>7.9800000000000013</v>
      </c>
      <c r="G45" s="23">
        <f>F45*'Teine 41'!G45/'Teine 41'!F45</f>
        <v>6.5450000000000008</v>
      </c>
    </row>
    <row r="46" spans="1:10" x14ac:dyDescent="0.25">
      <c r="A46" s="102"/>
      <c r="B46" s="217" t="str">
        <f>'Teine 41'!B46</f>
        <v>Hapukoor (L)</v>
      </c>
      <c r="C46" s="23">
        <v>10</v>
      </c>
      <c r="D46" s="23">
        <f>C46*'Teine 41'!D46/'Teine 41'!C46</f>
        <v>22.2</v>
      </c>
      <c r="E46" s="23">
        <f>D46*'Teine 41'!E46/'Teine 41'!D46</f>
        <v>0.38</v>
      </c>
      <c r="F46" s="23">
        <f>E46*'Teine 41'!F46/'Teine 41'!E46</f>
        <v>2.15</v>
      </c>
      <c r="G46" s="23">
        <f>F46*'Teine 41'!G46/'Teine 41'!F46</f>
        <v>0.33</v>
      </c>
    </row>
    <row r="47" spans="1:10" x14ac:dyDescent="0.25">
      <c r="A47" s="102"/>
      <c r="B47" s="217" t="str">
        <f>'Teine 41'!B47</f>
        <v>Tähestikusupp kanalihaga (G)</v>
      </c>
      <c r="C47" s="260">
        <v>175</v>
      </c>
      <c r="D47" s="23">
        <f>C47*'Teine 41'!D47/'Teine 41'!C47</f>
        <v>151.19999999999999</v>
      </c>
      <c r="E47" s="23">
        <f>D47*'Teine 41'!E47/'Teine 41'!D47</f>
        <v>18.913999999999998</v>
      </c>
      <c r="F47" s="23">
        <f>E47*'Teine 41'!F47/'Teine 41'!E47</f>
        <v>9.0719999999999992</v>
      </c>
      <c r="G47" s="23">
        <f>F47*'Teine 41'!G47/'Teine 41'!F47</f>
        <v>2.9399999999999995</v>
      </c>
    </row>
    <row r="48" spans="1:10" x14ac:dyDescent="0.25">
      <c r="A48" s="57"/>
      <c r="B48" s="217" t="str">
        <f>'Teine 41'!B48</f>
        <v>Õuna-astelpaju jogurtidessert (L)</v>
      </c>
      <c r="C48" s="259">
        <v>160</v>
      </c>
      <c r="D48" s="23">
        <f>C48*'Teine 41'!D48/'Teine 41'!C48</f>
        <v>268.2</v>
      </c>
      <c r="E48" s="23">
        <f>D48*'Teine 41'!E48/'Teine 41'!D48</f>
        <v>36.14</v>
      </c>
      <c r="F48" s="23">
        <f>E48*'Teine 41'!F48/'Teine 41'!E48</f>
        <v>8.02</v>
      </c>
      <c r="G48" s="23">
        <f>F48*'Teine 41'!G48/'Teine 41'!F48</f>
        <v>6.1</v>
      </c>
    </row>
    <row r="49" spans="1:12" x14ac:dyDescent="0.25">
      <c r="A49" s="56"/>
      <c r="B49" s="217" t="str">
        <f>'Teine 41'!B49</f>
        <v>PRIA Piimatooted (piim, keefir) (L)</v>
      </c>
      <c r="C49" s="26">
        <v>100</v>
      </c>
      <c r="D49" s="23"/>
      <c r="E49" s="23"/>
      <c r="F49" s="23"/>
      <c r="G49" s="23"/>
    </row>
    <row r="50" spans="1:12" x14ac:dyDescent="0.25">
      <c r="A50" s="56"/>
      <c r="B50" s="217" t="str">
        <f>'Teine 41'!B50</f>
        <v>Rukkileiva- ja sepikutoodete valik (G)</v>
      </c>
      <c r="C50" s="26">
        <v>60</v>
      </c>
      <c r="D50" s="23">
        <f>C50*'Teine 41'!D50/'Teine 41'!C50</f>
        <v>138</v>
      </c>
      <c r="E50" s="23">
        <f>D50*'Teine 41'!E50/'Teine 41'!D50</f>
        <v>29.520000000000003</v>
      </c>
      <c r="F50" s="23">
        <f>E50*'Teine 41'!F50/'Teine 41'!E50</f>
        <v>0.99599999999999989</v>
      </c>
      <c r="G50" s="23">
        <f>F50*'Teine 41'!G50/'Teine 41'!F50</f>
        <v>4.7279999999999998</v>
      </c>
    </row>
    <row r="51" spans="1:12" x14ac:dyDescent="0.25">
      <c r="A51" s="56"/>
      <c r="B51" s="258" t="s">
        <v>139</v>
      </c>
      <c r="C51" s="26">
        <v>100</v>
      </c>
      <c r="D51" s="23">
        <f>C51*'Teine 41'!D51/'Teine 41'!C51</f>
        <v>24.2</v>
      </c>
      <c r="E51" s="23">
        <f>D51*'Teine 41'!E51/'Teine 41'!D51</f>
        <v>4.2</v>
      </c>
      <c r="F51" s="23">
        <f>E51*'Teine 41'!F51/'Teine 41'!E51</f>
        <v>0.2</v>
      </c>
      <c r="G51" s="23">
        <f>F51*'Teine 41'!G51/'Teine 41'!F51</f>
        <v>0.5</v>
      </c>
    </row>
    <row r="52" spans="1:12" s="41" customFormat="1" x14ac:dyDescent="0.25">
      <c r="A52" s="65"/>
      <c r="B52" s="257" t="str">
        <f>'Teine 41'!B52</f>
        <v>Kokku:</v>
      </c>
      <c r="C52" s="185"/>
      <c r="D52" s="186">
        <f>SUM(D45:D51)</f>
        <v>761.3</v>
      </c>
      <c r="E52" s="186">
        <f>SUM(E45:E51)</f>
        <v>111.449</v>
      </c>
      <c r="F52" s="186">
        <f>SUM(F45:F51)</f>
        <v>28.417999999999996</v>
      </c>
      <c r="G52" s="186">
        <f>SUM(G45:G51)</f>
        <v>21.143000000000001</v>
      </c>
    </row>
    <row r="53" spans="1:12" ht="31.5" x14ac:dyDescent="0.25">
      <c r="A53" s="14" t="s">
        <v>79</v>
      </c>
      <c r="B53" s="12" t="s">
        <v>87</v>
      </c>
      <c r="C53" s="314">
        <v>350</v>
      </c>
      <c r="D53" s="26">
        <f>330*1.16</f>
        <v>382.79999999999995</v>
      </c>
      <c r="E53" s="26">
        <f>23.76*1.16</f>
        <v>27.561599999999999</v>
      </c>
      <c r="F53" s="26">
        <f>17.67*1.16</f>
        <v>20.497199999999999</v>
      </c>
      <c r="G53" s="26">
        <f>14.13*1.16</f>
        <v>16.390799999999999</v>
      </c>
    </row>
    <row r="54" spans="1:12" s="9" customFormat="1" x14ac:dyDescent="0.25">
      <c r="A54" s="103" t="s">
        <v>12</v>
      </c>
      <c r="B54" s="258"/>
      <c r="C54" s="101" t="s">
        <v>2</v>
      </c>
      <c r="D54" s="101" t="s">
        <v>3</v>
      </c>
      <c r="E54" s="101" t="s">
        <v>4</v>
      </c>
      <c r="F54" s="101" t="s">
        <v>5</v>
      </c>
      <c r="G54" s="101" t="s">
        <v>6</v>
      </c>
    </row>
    <row r="55" spans="1:12" x14ac:dyDescent="0.25">
      <c r="A55" s="102" t="s">
        <v>7</v>
      </c>
      <c r="B55" s="217" t="str">
        <f>'Teine 41'!B55</f>
        <v>Lõhe-kartuliroog porrulaugu ja tilliga</v>
      </c>
      <c r="C55" s="23">
        <v>175</v>
      </c>
      <c r="D55" s="23">
        <f>C55*'Teine 41'!D55/'Teine 41'!C55</f>
        <v>208.25</v>
      </c>
      <c r="E55" s="23">
        <f>D55*'Teine 41'!E55/'Teine 41'!D55</f>
        <v>33.6</v>
      </c>
      <c r="F55" s="23">
        <f>E55*'Teine 41'!F55/'Teine 41'!E55</f>
        <v>10.01</v>
      </c>
      <c r="G55" s="23">
        <f>F55*'Teine 41'!G55/'Teine 41'!F55</f>
        <v>7.6159999999999997</v>
      </c>
    </row>
    <row r="56" spans="1:12" x14ac:dyDescent="0.25">
      <c r="A56" s="102"/>
      <c r="B56" s="217" t="str">
        <f>'Teine 41'!B56</f>
        <v>Tatrahautis šampinjonide ja hakklihaga</v>
      </c>
      <c r="C56" s="192">
        <v>175</v>
      </c>
      <c r="D56" s="23">
        <f>C56*'Teine 41'!D56/'Teine 41'!C56</f>
        <v>176.75</v>
      </c>
      <c r="E56" s="23">
        <f>D56*'Teine 41'!E56/'Teine 41'!D56</f>
        <v>21</v>
      </c>
      <c r="F56" s="23">
        <f>E56*'Teine 41'!F56/'Teine 41'!E56</f>
        <v>5.1239999999999997</v>
      </c>
      <c r="G56" s="23">
        <f>F56*'Teine 41'!G56/'Teine 41'!F56</f>
        <v>9.6074999999999982</v>
      </c>
    </row>
    <row r="57" spans="1:12" x14ac:dyDescent="0.25">
      <c r="A57" s="102"/>
      <c r="B57" s="217" t="str">
        <f>'Teine 41'!B57</f>
        <v>Aurutatud brokoli ja lillkapsas</v>
      </c>
      <c r="C57" s="398">
        <v>100</v>
      </c>
      <c r="D57" s="23">
        <f>C57*'Teine 41'!D57/'Teine 41'!C57</f>
        <v>38.1</v>
      </c>
      <c r="E57" s="23">
        <f>D57*'Teine 41'!E57/'Teine 41'!D57</f>
        <v>4.6399999999999997</v>
      </c>
      <c r="F57" s="23">
        <f>E57*'Teine 41'!F57/'Teine 41'!E57</f>
        <v>0.44</v>
      </c>
      <c r="G57" s="23">
        <f>F57*'Teine 41'!G57/'Teine 41'!F57</f>
        <v>3.2799999999999994</v>
      </c>
    </row>
    <row r="58" spans="1:12" x14ac:dyDescent="0.25">
      <c r="A58" s="56"/>
      <c r="B58" s="217" t="str">
        <f>'Teine 41'!B58</f>
        <v>Hapukoore-jogurtikaste sinepiga (L)</v>
      </c>
      <c r="C58" s="192">
        <v>50</v>
      </c>
      <c r="D58" s="23">
        <f>C58*'Teine 41'!D58/'Teine 41'!C58</f>
        <v>78</v>
      </c>
      <c r="E58" s="23">
        <f>D58*'Teine 41'!E58/'Teine 41'!D58</f>
        <v>5.2</v>
      </c>
      <c r="F58" s="23">
        <f>E58*'Teine 41'!F58/'Teine 41'!E58</f>
        <v>5.75</v>
      </c>
      <c r="G58" s="23">
        <f>F58*'Teine 41'!G58/'Teine 41'!F58</f>
        <v>1.39</v>
      </c>
    </row>
    <row r="59" spans="1:12" x14ac:dyDescent="0.25">
      <c r="A59" s="57"/>
      <c r="B59" s="217" t="str">
        <f>'Teine 41'!B59</f>
        <v>Hiina kapsa salat tomatiga</v>
      </c>
      <c r="C59" s="192">
        <v>50</v>
      </c>
      <c r="D59" s="23">
        <f>C59*'Teine 41'!D59/'Teine 41'!C59</f>
        <v>10.26</v>
      </c>
      <c r="E59" s="23">
        <f>D59*'Teine 41'!E59/'Teine 41'!D59</f>
        <v>1.8</v>
      </c>
      <c r="F59" s="23">
        <f>E59*'Teine 41'!F59/'Teine 41'!E59</f>
        <v>0.15</v>
      </c>
      <c r="G59" s="23">
        <f>F59*'Teine 41'!G59/'Teine 41'!F59</f>
        <v>0.68</v>
      </c>
      <c r="H59" s="11"/>
      <c r="I59" s="11"/>
      <c r="J59" s="11"/>
    </row>
    <row r="60" spans="1:12" ht="31.5" x14ac:dyDescent="0.25">
      <c r="A60" s="57"/>
      <c r="B60" s="217" t="str">
        <f>'Teine 41'!B60</f>
        <v>Kaalikas, punane uba, roheline hernes, kodujuust (PRIA) (L)</v>
      </c>
      <c r="C60" s="192">
        <v>50</v>
      </c>
      <c r="D60" s="23">
        <f>C60*'Teine 41'!D60/'Teine 41'!C60</f>
        <v>38.450000000000003</v>
      </c>
      <c r="E60" s="23">
        <f>D60*'Teine 41'!E60/'Teine 41'!D60</f>
        <v>4.5049999999999999</v>
      </c>
      <c r="F60" s="23">
        <f>E60*'Teine 41'!F60/'Teine 41'!E60</f>
        <v>0.56499999999999995</v>
      </c>
      <c r="G60" s="23">
        <f>F60*'Teine 41'!G60/'Teine 41'!F60</f>
        <v>3.0350000000000001</v>
      </c>
    </row>
    <row r="61" spans="1:12" x14ac:dyDescent="0.25">
      <c r="A61" s="57"/>
      <c r="B61" s="217" t="str">
        <f>'Teine 41'!B61</f>
        <v>Salatikaste</v>
      </c>
      <c r="C61" s="192">
        <v>5</v>
      </c>
      <c r="D61" s="23">
        <f>C61*'Teine 41'!D61/'Teine 41'!C61</f>
        <v>35.25</v>
      </c>
      <c r="E61" s="23">
        <f>D61*'Teine 41'!E61/'Teine 41'!D61</f>
        <v>2.9999999999999995E-2</v>
      </c>
      <c r="F61" s="23">
        <f>E61*'Teine 41'!F61/'Teine 41'!E61</f>
        <v>3.8999999999999995</v>
      </c>
      <c r="G61" s="23">
        <f>F61*'Teine 41'!G61/'Teine 41'!F61</f>
        <v>9.9999999999999985E-3</v>
      </c>
    </row>
    <row r="62" spans="1:12" x14ac:dyDescent="0.25">
      <c r="A62" s="57"/>
      <c r="B62" s="217" t="str">
        <f>'Teine 41'!B62</f>
        <v>Seemnesegu</v>
      </c>
      <c r="C62" s="192">
        <v>15</v>
      </c>
      <c r="D62" s="23">
        <f>C62*'Teine 41'!D62/'Teine 41'!C62</f>
        <v>91.649849999999986</v>
      </c>
      <c r="E62" s="23">
        <f>D62*'Teine 41'!E62/'Teine 41'!D62</f>
        <v>2.1298499999999998</v>
      </c>
      <c r="F62" s="23">
        <f>E62*'Teine 41'!F62/'Teine 41'!E62</f>
        <v>8.0398499999999995</v>
      </c>
      <c r="G62" s="23">
        <f>F62*'Teine 41'!G62/'Teine 41'!F62</f>
        <v>3.3598499999999998</v>
      </c>
    </row>
    <row r="63" spans="1:12" x14ac:dyDescent="0.25">
      <c r="A63" s="56"/>
      <c r="B63" s="217" t="str">
        <f>'Teine 41'!B63</f>
        <v>PRIA Piimatooted (piim, keefir) (L)</v>
      </c>
      <c r="C63" s="200">
        <v>100</v>
      </c>
      <c r="D63" s="23"/>
      <c r="E63" s="23"/>
      <c r="F63" s="23"/>
      <c r="G63" s="23"/>
      <c r="H63" s="11"/>
      <c r="I63" s="11"/>
      <c r="J63" s="11"/>
      <c r="K63" s="11"/>
      <c r="L63" s="11"/>
    </row>
    <row r="64" spans="1:12" x14ac:dyDescent="0.25">
      <c r="A64" s="57"/>
      <c r="B64" s="217" t="str">
        <f>'Teine 41'!B64</f>
        <v>Rukkileiva- ja sepikutoodete valik (G)</v>
      </c>
      <c r="C64" s="192">
        <v>60</v>
      </c>
      <c r="D64" s="23">
        <f>C64*'Teine 41'!D64/'Teine 41'!C64</f>
        <v>138</v>
      </c>
      <c r="E64" s="23">
        <f>D64*'Teine 41'!E64/'Teine 41'!D64</f>
        <v>29.520000000000003</v>
      </c>
      <c r="F64" s="23">
        <f>E64*'Teine 41'!F64/'Teine 41'!E64</f>
        <v>0.99599999999999989</v>
      </c>
      <c r="G64" s="23">
        <f>F64*'Teine 41'!G64/'Teine 41'!F64</f>
        <v>4.7279999999999998</v>
      </c>
    </row>
    <row r="65" spans="1:7" x14ac:dyDescent="0.25">
      <c r="A65" s="56"/>
      <c r="B65" s="217" t="s">
        <v>125</v>
      </c>
      <c r="C65" s="192">
        <v>100</v>
      </c>
      <c r="D65" s="23">
        <f>C65*'Teine 41'!D65/'Teine 41'!C65</f>
        <v>45.7</v>
      </c>
      <c r="E65" s="23">
        <f>D65*'Teine 41'!E65/'Teine 41'!D65</f>
        <v>10.01</v>
      </c>
      <c r="F65" s="23">
        <f>E65*'Teine 41'!F65/'Teine 41'!E65</f>
        <v>0.3</v>
      </c>
      <c r="G65" s="23">
        <f>F65*'Teine 41'!G65/'Teine 41'!F65</f>
        <v>0.5</v>
      </c>
    </row>
    <row r="66" spans="1:7" s="41" customFormat="1" x14ac:dyDescent="0.25">
      <c r="A66" s="69"/>
      <c r="B66" s="317" t="s">
        <v>8</v>
      </c>
      <c r="C66" s="327"/>
      <c r="D66" s="244">
        <f>SUM(D55:D65)</f>
        <v>860.40985000000012</v>
      </c>
      <c r="E66" s="244">
        <f t="shared" ref="E66:G66" si="2">SUM(E55:E65)</f>
        <v>112.43485</v>
      </c>
      <c r="F66" s="244">
        <f t="shared" si="2"/>
        <v>35.274849999999994</v>
      </c>
      <c r="G66" s="244">
        <f t="shared" si="2"/>
        <v>34.20635</v>
      </c>
    </row>
    <row r="67" spans="1:7" s="41" customFormat="1" ht="31.5" x14ac:dyDescent="0.25">
      <c r="A67" s="87" t="s">
        <v>79</v>
      </c>
      <c r="B67" s="308" t="s">
        <v>140</v>
      </c>
      <c r="C67" s="313">
        <v>350</v>
      </c>
      <c r="D67" s="262">
        <v>313.25</v>
      </c>
      <c r="E67" s="262">
        <v>35</v>
      </c>
      <c r="F67" s="262">
        <v>11.9</v>
      </c>
      <c r="G67" s="262">
        <v>14.175000000000001</v>
      </c>
    </row>
    <row r="68" spans="1:7" x14ac:dyDescent="0.25">
      <c r="A68" s="10"/>
      <c r="B68" s="16" t="s">
        <v>13</v>
      </c>
      <c r="C68" s="10"/>
      <c r="D68" s="328">
        <f>AVERAGE(D16,D26,D42,D52,D66)</f>
        <v>859.42062714285714</v>
      </c>
      <c r="E68" s="328">
        <f>AVERAGE(E16,E26,E42,E52,E66)</f>
        <v>116.99122714285716</v>
      </c>
      <c r="F68" s="328">
        <f>AVERAGE(F16,F26,F42,F52,F66)</f>
        <v>29.354991428571424</v>
      </c>
      <c r="G68" s="328">
        <f>AVERAGE(G16,G26,G42,G52,G66)</f>
        <v>34.463198571428563</v>
      </c>
    </row>
    <row r="69" spans="1:7" x14ac:dyDescent="0.25">
      <c r="A69" s="303" t="s">
        <v>84</v>
      </c>
      <c r="B69" s="304"/>
      <c r="C69" s="10"/>
      <c r="D69" s="10"/>
      <c r="E69" s="10"/>
      <c r="F69" s="10"/>
      <c r="G69" s="10"/>
    </row>
    <row r="70" spans="1:7" x14ac:dyDescent="0.25">
      <c r="A70" s="10" t="s">
        <v>63</v>
      </c>
      <c r="B70" s="10"/>
      <c r="C70" s="10"/>
      <c r="D70" s="10"/>
      <c r="E70" s="10"/>
      <c r="F70" s="10"/>
      <c r="G70" s="10"/>
    </row>
  </sheetData>
  <pageMargins left="0.7" right="0.7" top="0.75" bottom="0.75" header="0.3" footer="0.3"/>
  <pageSetup paperSize="9" scale="63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F2A6F-AA84-4B33-A129-B1BA40A96505}">
  <sheetPr>
    <pageSetUpPr fitToPage="1"/>
  </sheetPr>
  <dimension ref="A1:L71"/>
  <sheetViews>
    <sheetView zoomScale="80" zoomScaleNormal="80" workbookViewId="0">
      <selection activeCell="S58" sqref="S58"/>
    </sheetView>
  </sheetViews>
  <sheetFormatPr defaultColWidth="9.28515625" defaultRowHeight="15.75" x14ac:dyDescent="0.25"/>
  <cols>
    <col min="1" max="1" width="23.28515625" style="12" customWidth="1"/>
    <col min="2" max="2" width="54.5703125" style="12" customWidth="1"/>
    <col min="3" max="3" width="10.7109375" style="12" customWidth="1"/>
    <col min="4" max="4" width="14.28515625" style="12" customWidth="1"/>
    <col min="5" max="5" width="14.7109375" style="12" customWidth="1"/>
    <col min="6" max="6" width="11" style="12" customWidth="1"/>
    <col min="7" max="7" width="11.28515625" style="12" customWidth="1"/>
    <col min="8" max="16384" width="9.28515625" style="12"/>
  </cols>
  <sheetData>
    <row r="1" spans="1:7" x14ac:dyDescent="0.25">
      <c r="B1" s="98"/>
    </row>
    <row r="2" spans="1:7" ht="45.75" customHeight="1" x14ac:dyDescent="0.35">
      <c r="A2" s="96" t="str">
        <f>'Teine 42'!A2</f>
        <v>Koolilõuna 16.10-20.10.2023</v>
      </c>
      <c r="B2" s="97"/>
      <c r="C2" s="10" t="s">
        <v>66</v>
      </c>
      <c r="D2" s="11"/>
      <c r="E2" s="41"/>
    </row>
    <row r="3" spans="1:7" s="9" customFormat="1" ht="24" customHeight="1" x14ac:dyDescent="0.25">
      <c r="A3" s="68" t="s">
        <v>1</v>
      </c>
      <c r="B3" s="245"/>
      <c r="C3" s="246" t="s">
        <v>2</v>
      </c>
      <c r="D3" s="246" t="s">
        <v>3</v>
      </c>
      <c r="E3" s="246" t="s">
        <v>4</v>
      </c>
      <c r="F3" s="246" t="s">
        <v>5</v>
      </c>
      <c r="G3" s="246" t="s">
        <v>6</v>
      </c>
    </row>
    <row r="4" spans="1:7" x14ac:dyDescent="0.25">
      <c r="A4" s="64" t="s">
        <v>7</v>
      </c>
      <c r="B4" s="261" t="str">
        <f>'Teine 42'!B4</f>
        <v>Kana-karrikaste (L, G)</v>
      </c>
      <c r="C4" s="262">
        <v>75</v>
      </c>
      <c r="D4" s="262">
        <f>C4*'Teine 42'!D4/'Teine 42'!C4</f>
        <v>107.25</v>
      </c>
      <c r="E4" s="262">
        <f>D4*'Teine 42'!E4/'Teine 42'!D4</f>
        <v>9.7071428571428591</v>
      </c>
      <c r="F4" s="262">
        <f>E4*'Teine 42'!F4/'Teine 42'!E4</f>
        <v>5.4</v>
      </c>
      <c r="G4" s="262">
        <f>F4*'Teine 42'!G4/'Teine 42'!F4</f>
        <v>9.5892857142857135</v>
      </c>
    </row>
    <row r="5" spans="1:7" x14ac:dyDescent="0.25">
      <c r="A5" s="64"/>
      <c r="B5" s="261" t="str">
        <f>'Teine 42'!B5</f>
        <v>Bolognese kaste</v>
      </c>
      <c r="C5" s="398">
        <v>75</v>
      </c>
      <c r="D5" s="262">
        <f>C5*'Teine 42'!D5/'Teine 42'!C5</f>
        <v>89.464285714285708</v>
      </c>
      <c r="E5" s="262">
        <f>D5*'Teine 42'!E5/'Teine 42'!D5</f>
        <v>4.8642857142857139</v>
      </c>
      <c r="F5" s="262">
        <f>E5*'Teine 42'!F5/'Teine 42'!E5</f>
        <v>5.7589285714285712</v>
      </c>
      <c r="G5" s="262">
        <f>F5*'Teine 42'!G5/'Teine 42'!F5</f>
        <v>5.2124999999999995</v>
      </c>
    </row>
    <row r="6" spans="1:7" x14ac:dyDescent="0.25">
      <c r="A6" s="64"/>
      <c r="B6" s="261" t="str">
        <f>'Teine 42'!B6</f>
        <v>Riis, aurutatud</v>
      </c>
      <c r="C6" s="398">
        <v>100</v>
      </c>
      <c r="D6" s="262">
        <f>C6*'Teine 42'!D6/'Teine 42'!C6</f>
        <v>129.22</v>
      </c>
      <c r="E6" s="262">
        <f>D6*'Teine 42'!E6/'Teine 42'!D6</f>
        <v>28.62</v>
      </c>
      <c r="F6" s="262">
        <f>E6*'Teine 42'!F6/'Teine 42'!E6</f>
        <v>0.254</v>
      </c>
      <c r="G6" s="262">
        <f>F6*'Teine 42'!G6/'Teine 42'!F6</f>
        <v>2.9394</v>
      </c>
    </row>
    <row r="7" spans="1:7" x14ac:dyDescent="0.25">
      <c r="A7" s="56"/>
      <c r="B7" s="261" t="str">
        <f>'Teine 42'!B7</f>
        <v>Täisterapasta/pasta (G)</v>
      </c>
      <c r="C7" s="262">
        <v>100</v>
      </c>
      <c r="D7" s="262">
        <f>C7*'Teine 42'!D7/'Teine 42'!C7</f>
        <v>178.92</v>
      </c>
      <c r="E7" s="262">
        <f>D7*'Teine 42'!E7/'Teine 42'!D7</f>
        <v>34.1</v>
      </c>
      <c r="F7" s="262">
        <f>E7*'Teine 42'!F7/'Teine 42'!E7</f>
        <v>1.4</v>
      </c>
      <c r="G7" s="262">
        <f>F7*'Teine 42'!G7/'Teine 42'!F7</f>
        <v>6.6</v>
      </c>
    </row>
    <row r="8" spans="1:7" x14ac:dyDescent="0.25">
      <c r="A8" s="56"/>
      <c r="B8" s="261" t="str">
        <f>'Teine 42'!B8</f>
        <v>Bulgur, keedetud (G)</v>
      </c>
      <c r="C8" s="262">
        <v>100</v>
      </c>
      <c r="D8" s="262">
        <f>C8*'Teine 42'!D8/'Teine 42'!C8</f>
        <v>122</v>
      </c>
      <c r="E8" s="262">
        <f>D8*'Teine 42'!E8/'Teine 42'!D8</f>
        <v>23.5</v>
      </c>
      <c r="F8" s="262">
        <f>E8*'Teine 42'!F8/'Teine 42'!E8</f>
        <v>0.79100000000000004</v>
      </c>
      <c r="G8" s="262">
        <f>F8*'Teine 42'!G8/'Teine 42'!F8</f>
        <v>4.0599999999999996</v>
      </c>
    </row>
    <row r="9" spans="1:7" x14ac:dyDescent="0.25">
      <c r="A9" s="57"/>
      <c r="B9" s="261" t="str">
        <f>'Teine 42'!B9</f>
        <v>Hiina kapsa ja paprika salat</v>
      </c>
      <c r="C9" s="262">
        <v>50</v>
      </c>
      <c r="D9" s="262">
        <f>C9*'Teine 42'!D9/'Teine 42'!C9</f>
        <v>9.68</v>
      </c>
      <c r="E9" s="262">
        <f>D9*'Teine 42'!E9/'Teine 42'!D9</f>
        <v>2.0099999999999998</v>
      </c>
      <c r="F9" s="262">
        <f>E9*'Teine 42'!F9/'Teine 42'!E9</f>
        <v>0.09</v>
      </c>
      <c r="G9" s="262">
        <f>F9*'Teine 42'!G9/'Teine 42'!F9</f>
        <v>0.55000000000000004</v>
      </c>
    </row>
    <row r="10" spans="1:7" x14ac:dyDescent="0.25">
      <c r="A10" s="56"/>
      <c r="B10" s="261" t="str">
        <f>'Teine 42'!B10</f>
        <v>Punane kapsas, mais, lillkapsas (aurutatud)</v>
      </c>
      <c r="C10" s="262">
        <v>50</v>
      </c>
      <c r="D10" s="262">
        <f>C10*'Teine 42'!D10/'Teine 42'!C10</f>
        <v>42.67</v>
      </c>
      <c r="E10" s="262">
        <f>D10*'Teine 42'!E10/'Teine 42'!D10</f>
        <v>9.18</v>
      </c>
      <c r="F10" s="262">
        <f>E10*'Teine 42'!F10/'Teine 42'!E10</f>
        <v>0.35</v>
      </c>
      <c r="G10" s="262">
        <f>F10*'Teine 42'!G10/'Teine 42'!F10</f>
        <v>2.68</v>
      </c>
    </row>
    <row r="11" spans="1:7" x14ac:dyDescent="0.25">
      <c r="A11" s="56"/>
      <c r="B11" s="261" t="str">
        <f>'Teine 42'!B11</f>
        <v>Salatikaste</v>
      </c>
      <c r="C11" s="262">
        <v>5</v>
      </c>
      <c r="D11" s="262">
        <f>C11*'Teine 42'!D11/'Teine 42'!C11</f>
        <v>35.25</v>
      </c>
      <c r="E11" s="262">
        <f>D11*'Teine 42'!E11/'Teine 42'!D11</f>
        <v>2.9999999999999995E-2</v>
      </c>
      <c r="F11" s="262">
        <f>E11*'Teine 42'!F11/'Teine 42'!E11</f>
        <v>3.8999999999999995</v>
      </c>
      <c r="G11" s="262">
        <f>F11*'Teine 42'!G11/'Teine 42'!F11</f>
        <v>9.9999999999999985E-3</v>
      </c>
    </row>
    <row r="12" spans="1:7" x14ac:dyDescent="0.25">
      <c r="A12" s="56"/>
      <c r="B12" s="261" t="str">
        <f>'Teine 42'!B12</f>
        <v>Seemnesegu</v>
      </c>
      <c r="C12" s="262">
        <v>15</v>
      </c>
      <c r="D12" s="262">
        <f>C12*'Teine 42'!D12/'Teine 42'!C12</f>
        <v>91.65</v>
      </c>
      <c r="E12" s="262">
        <f>D12*'Teine 42'!E12/'Teine 42'!D12</f>
        <v>2.13</v>
      </c>
      <c r="F12" s="262">
        <f>E12*'Teine 42'!F12/'Teine 42'!E12</f>
        <v>8.0399999999999991</v>
      </c>
      <c r="G12" s="262">
        <f>F12*'Teine 42'!G12/'Teine 42'!F12</f>
        <v>3.36</v>
      </c>
    </row>
    <row r="13" spans="1:7" x14ac:dyDescent="0.25">
      <c r="A13" s="56"/>
      <c r="B13" s="261" t="s">
        <v>136</v>
      </c>
      <c r="C13" s="263">
        <v>100</v>
      </c>
      <c r="D13" s="262"/>
      <c r="E13" s="262"/>
      <c r="F13" s="262"/>
      <c r="G13" s="262"/>
    </row>
    <row r="14" spans="1:7" x14ac:dyDescent="0.25">
      <c r="A14" s="56"/>
      <c r="B14" s="261" t="str">
        <f>'Teine 42'!B14</f>
        <v>Rukkileiva- ja sepikutoodete valik (G)</v>
      </c>
      <c r="C14" s="262">
        <v>60</v>
      </c>
      <c r="D14" s="262">
        <f>C14*'Teine 42'!D14/'Teine 42'!C14</f>
        <v>138</v>
      </c>
      <c r="E14" s="262">
        <f>D14*'Teine 42'!E14/'Teine 42'!D14</f>
        <v>29.520000000000003</v>
      </c>
      <c r="F14" s="262">
        <f>E14*'Teine 42'!F14/'Teine 42'!E14</f>
        <v>0.99599999999999989</v>
      </c>
      <c r="G14" s="262">
        <f>F14*'Teine 42'!G14/'Teine 42'!F14</f>
        <v>4.7279999999999998</v>
      </c>
    </row>
    <row r="15" spans="1:7" x14ac:dyDescent="0.25">
      <c r="A15" s="57"/>
      <c r="B15" s="261" t="s">
        <v>128</v>
      </c>
      <c r="C15" s="255">
        <v>100</v>
      </c>
      <c r="D15" s="262">
        <f>C15*'Teine 42'!D15/'Teine 42'!C15</f>
        <v>48.3</v>
      </c>
      <c r="E15" s="262">
        <f>D15*'Teine 42'!E15/'Teine 42'!D15</f>
        <v>10.9</v>
      </c>
      <c r="F15" s="262">
        <f>E15*'Teine 42'!F15/'Teine 42'!E15</f>
        <v>0</v>
      </c>
      <c r="G15" s="262">
        <v>0</v>
      </c>
    </row>
    <row r="16" spans="1:7" x14ac:dyDescent="0.25">
      <c r="A16" s="65"/>
      <c r="B16" s="257" t="str">
        <f>'Teine 42'!B16</f>
        <v>Kokku:</v>
      </c>
      <c r="C16" s="66"/>
      <c r="D16" s="85">
        <f>SUM(D4:D15)</f>
        <v>992.40428571428549</v>
      </c>
      <c r="E16" s="85">
        <f>SUM(E4:E15)</f>
        <v>154.56142857142859</v>
      </c>
      <c r="F16" s="85">
        <f>SUM(F4:F15)</f>
        <v>26.979928571428569</v>
      </c>
      <c r="G16" s="85">
        <f>SUM(G4:G15)</f>
        <v>39.72918571428572</v>
      </c>
    </row>
    <row r="17" spans="1:7" s="9" customFormat="1" x14ac:dyDescent="0.25">
      <c r="A17" s="14" t="s">
        <v>79</v>
      </c>
      <c r="B17" s="12" t="s">
        <v>111</v>
      </c>
      <c r="C17" s="314">
        <v>150</v>
      </c>
      <c r="D17" s="262">
        <f>1.07*174.78</f>
        <v>187.0146</v>
      </c>
      <c r="E17" s="262">
        <f>1.07*15.59</f>
        <v>16.6813</v>
      </c>
      <c r="F17" s="262">
        <f>1.07*9.54</f>
        <v>10.207799999999999</v>
      </c>
      <c r="G17" s="262">
        <f>1.07*7.69</f>
        <v>8.2283000000000008</v>
      </c>
    </row>
    <row r="18" spans="1:7" x14ac:dyDescent="0.25">
      <c r="A18" s="68" t="s">
        <v>9</v>
      </c>
      <c r="B18" s="258"/>
      <c r="C18" s="63" t="s">
        <v>2</v>
      </c>
      <c r="D18" s="63" t="s">
        <v>3</v>
      </c>
      <c r="E18" s="63" t="s">
        <v>4</v>
      </c>
      <c r="F18" s="63" t="s">
        <v>5</v>
      </c>
      <c r="G18" s="63" t="s">
        <v>6</v>
      </c>
    </row>
    <row r="19" spans="1:7" x14ac:dyDescent="0.25">
      <c r="A19" s="64" t="s">
        <v>7</v>
      </c>
      <c r="B19" s="261" t="str">
        <f>'Teine 42'!B19</f>
        <v>Veisehakkliha-pastasupp (G)</v>
      </c>
      <c r="C19" s="23">
        <v>175</v>
      </c>
      <c r="D19" s="23">
        <f>C19*'Teine 42'!D19/'Teine 42'!C19</f>
        <v>197.75</v>
      </c>
      <c r="E19" s="23">
        <f>D19*'Teine 42'!E19/'Teine 42'!D19</f>
        <v>22.05</v>
      </c>
      <c r="F19" s="23">
        <f>E19*'Teine 42'!F19/'Teine 42'!E19</f>
        <v>8.4910000000000014</v>
      </c>
      <c r="G19" s="23">
        <f>F19*'Teine 42'!G19/'Teine 42'!F19</f>
        <v>7.5250000000000004</v>
      </c>
    </row>
    <row r="20" spans="1:7" x14ac:dyDescent="0.25">
      <c r="A20" s="64"/>
      <c r="B20" s="261" t="str">
        <f>'Teine 42'!B20</f>
        <v>Värskekapsaborš sealihaga</v>
      </c>
      <c r="C20" s="23">
        <v>175</v>
      </c>
      <c r="D20" s="23">
        <f>C20*'Teine 42'!D20/'Teine 42'!C20</f>
        <v>189.33600000000001</v>
      </c>
      <c r="E20" s="23">
        <f>D20*'Teine 42'!E20/'Teine 42'!D20</f>
        <v>19.201000000000001</v>
      </c>
      <c r="F20" s="23">
        <f>E20*'Teine 42'!F20/'Teine 42'!E20</f>
        <v>9.7439999999999998</v>
      </c>
      <c r="G20" s="23">
        <f>F20*'Teine 42'!G20/'Teine 42'!F20</f>
        <v>8.6519999999999992</v>
      </c>
    </row>
    <row r="21" spans="1:7" x14ac:dyDescent="0.25">
      <c r="A21" s="64"/>
      <c r="B21" s="261" t="str">
        <f>'Teine 42'!B21</f>
        <v>Hapukoor (L)</v>
      </c>
      <c r="C21" s="23">
        <v>20</v>
      </c>
      <c r="D21" s="23">
        <f>C21*'Teine 42'!D21/'Teine 42'!C21</f>
        <v>44.4</v>
      </c>
      <c r="E21" s="23">
        <f>D21*'Teine 42'!E21/'Teine 42'!D21</f>
        <v>0.76</v>
      </c>
      <c r="F21" s="23">
        <f>E21*'Teine 42'!F21/'Teine 42'!E21</f>
        <v>4.3</v>
      </c>
      <c r="G21" s="23">
        <f>F21*'Teine 42'!G21/'Teine 42'!F21</f>
        <v>0.66</v>
      </c>
    </row>
    <row r="22" spans="1:7" x14ac:dyDescent="0.25">
      <c r="A22" s="64"/>
      <c r="B22" s="261" t="str">
        <f>'Teine 42'!B22</f>
        <v>Kakaotarretis marjapüreega (L)</v>
      </c>
      <c r="C22" s="262">
        <v>160</v>
      </c>
      <c r="D22" s="23">
        <f>C22*'Teine 42'!D22/'Teine 42'!C22</f>
        <v>172.2</v>
      </c>
      <c r="E22" s="23">
        <f>D22*'Teine 42'!E22/'Teine 42'!D22</f>
        <v>20.8</v>
      </c>
      <c r="F22" s="23">
        <f>E22*'Teine 42'!F22/'Teine 42'!E22</f>
        <v>5.4560000000000004</v>
      </c>
      <c r="G22" s="23">
        <f>F22*'Teine 42'!G22/'Teine 42'!F22</f>
        <v>6.1499999999999995</v>
      </c>
    </row>
    <row r="23" spans="1:7" x14ac:dyDescent="0.25">
      <c r="A23" s="64"/>
      <c r="B23" s="261" t="s">
        <v>136</v>
      </c>
      <c r="C23" s="263">
        <v>100</v>
      </c>
      <c r="D23" s="23"/>
      <c r="E23" s="23"/>
      <c r="F23" s="23"/>
      <c r="G23" s="23"/>
    </row>
    <row r="24" spans="1:7" x14ac:dyDescent="0.25">
      <c r="A24" s="57"/>
      <c r="B24" s="261" t="str">
        <f>'Teine 42'!B24</f>
        <v>Rukkileiva- ja sepikutoodete valik (G)</v>
      </c>
      <c r="C24" s="262">
        <v>60</v>
      </c>
      <c r="D24" s="23">
        <f>C24*'Teine 42'!D24/'Teine 42'!C24</f>
        <v>138</v>
      </c>
      <c r="E24" s="23">
        <f>D24*'Teine 42'!E24/'Teine 42'!D24</f>
        <v>29.520000000000003</v>
      </c>
      <c r="F24" s="23">
        <f>E24*'Teine 42'!F24/'Teine 42'!E24</f>
        <v>0.99599999999999989</v>
      </c>
      <c r="G24" s="23">
        <f>F24*'Teine 42'!G24/'Teine 42'!F24</f>
        <v>4.7279999999999998</v>
      </c>
    </row>
    <row r="25" spans="1:7" ht="14.25" customHeight="1" x14ac:dyDescent="0.25">
      <c r="A25" s="56"/>
      <c r="B25" s="261" t="s">
        <v>132</v>
      </c>
      <c r="C25" s="255">
        <v>100</v>
      </c>
      <c r="D25" s="23">
        <f>C25*'Teine 42'!D25/'Teine 42'!C25</f>
        <v>35.6</v>
      </c>
      <c r="E25" s="23">
        <f>D25*'Teine 42'!E25/'Teine 42'!D25</f>
        <v>6.22</v>
      </c>
      <c r="F25" s="23">
        <f>E25*'Teine 42'!F25/'Teine 42'!E25</f>
        <v>0.1</v>
      </c>
      <c r="G25" s="23">
        <f>F25*'Teine 42'!G25/'Teine 42'!F25</f>
        <v>1.1000000000000001</v>
      </c>
    </row>
    <row r="26" spans="1:7" s="9" customFormat="1" x14ac:dyDescent="0.25">
      <c r="A26" s="69"/>
      <c r="B26" s="257" t="str">
        <f>'Teine 42'!B26</f>
        <v>Kokku:</v>
      </c>
      <c r="C26" s="66"/>
      <c r="D26" s="85">
        <f>SUM(D19:D25)</f>
        <v>777.28599999999994</v>
      </c>
      <c r="E26" s="85">
        <f>SUM(E19:E25)</f>
        <v>98.551000000000016</v>
      </c>
      <c r="F26" s="85">
        <f>SUM(F19:F25)</f>
        <v>29.087</v>
      </c>
      <c r="G26" s="85">
        <f>SUM(G19:G25)</f>
        <v>28.814999999999998</v>
      </c>
    </row>
    <row r="27" spans="1:7" x14ac:dyDescent="0.25">
      <c r="A27" s="14" t="s">
        <v>79</v>
      </c>
      <c r="B27" s="12" t="s">
        <v>114</v>
      </c>
      <c r="C27" s="314">
        <v>350</v>
      </c>
      <c r="D27" s="274">
        <f>237.91*1.16</f>
        <v>275.97559999999999</v>
      </c>
      <c r="E27" s="274">
        <f>34.2*1.16</f>
        <v>39.671999999999997</v>
      </c>
      <c r="F27" s="274">
        <f>11.98*1.16</f>
        <v>13.896799999999999</v>
      </c>
      <c r="G27" s="274">
        <f>4.32*1.16</f>
        <v>5.0111999999999997</v>
      </c>
    </row>
    <row r="28" spans="1:7" x14ac:dyDescent="0.25">
      <c r="A28" s="68" t="s">
        <v>10</v>
      </c>
      <c r="B28" s="258"/>
      <c r="C28" s="63" t="s">
        <v>2</v>
      </c>
      <c r="D28" s="63" t="s">
        <v>3</v>
      </c>
      <c r="E28" s="63" t="s">
        <v>4</v>
      </c>
      <c r="F28" s="63" t="s">
        <v>5</v>
      </c>
      <c r="G28" s="63" t="s">
        <v>6</v>
      </c>
    </row>
    <row r="29" spans="1:7" s="9" customFormat="1" ht="16.5" customHeight="1" x14ac:dyDescent="0.25">
      <c r="A29" s="64" t="s">
        <v>7</v>
      </c>
      <c r="B29" s="261" t="str">
        <f>'Teine 42'!B29</f>
        <v>Kirju pikkpoiss kanalihast (G) (portsjon)</v>
      </c>
      <c r="C29" s="84">
        <v>50</v>
      </c>
      <c r="D29" s="23">
        <f>C29*'Teine 42'!D29/'Teine 42'!C29</f>
        <v>49.65</v>
      </c>
      <c r="E29" s="23">
        <f>D29*'Teine 42'!E29/'Teine 42'!D29</f>
        <v>1.9750000000000001</v>
      </c>
      <c r="F29" s="23">
        <f>E29*'Teine 42'!F29/'Teine 42'!E29</f>
        <v>1.01</v>
      </c>
      <c r="G29" s="23">
        <f>F29*'Teine 42'!G29/'Teine 42'!F29</f>
        <v>8</v>
      </c>
    </row>
    <row r="30" spans="1:7" s="9" customFormat="1" ht="16.5" customHeight="1" x14ac:dyDescent="0.25">
      <c r="A30" s="64"/>
      <c r="B30" s="261" t="str">
        <f>'Teine 42'!B30</f>
        <v>Ahjus küpsetatud sealiha (portsjon)</v>
      </c>
      <c r="C30" s="84">
        <v>50</v>
      </c>
      <c r="D30" s="23">
        <f>C30*'Teine 42'!D30/'Teine 42'!C30</f>
        <v>119</v>
      </c>
      <c r="E30" s="23">
        <f>D30*'Teine 42'!E30/'Teine 42'!D30</f>
        <v>0.2</v>
      </c>
      <c r="F30" s="23">
        <f>E30*'Teine 42'!F30/'Teine 42'!E30</f>
        <v>7.3</v>
      </c>
      <c r="G30" s="23">
        <f>F30*'Teine 42'!G30/'Teine 42'!F30</f>
        <v>13.3</v>
      </c>
    </row>
    <row r="31" spans="1:7" s="9" customFormat="1" ht="16.5" customHeight="1" x14ac:dyDescent="0.25">
      <c r="A31" s="64"/>
      <c r="B31" s="261" t="str">
        <f>'Teine 42'!B31</f>
        <v>Kartulipüree (L)</v>
      </c>
      <c r="C31" s="84">
        <v>125</v>
      </c>
      <c r="D31" s="23">
        <f>C31*'Teine 42'!D31/'Teine 42'!C31</f>
        <v>112.32</v>
      </c>
      <c r="E31" s="23">
        <f>D31*'Teine 42'!E31/'Teine 42'!D31</f>
        <v>18.016249999999999</v>
      </c>
      <c r="F31" s="23">
        <f>E31*'Teine 42'!F31/'Teine 42'!E31</f>
        <v>2.9465000000000003</v>
      </c>
      <c r="G31" s="23">
        <f>F31*'Teine 42'!G31/'Teine 42'!F31</f>
        <v>2.9287500000000004</v>
      </c>
    </row>
    <row r="32" spans="1:7" ht="17.25" customHeight="1" x14ac:dyDescent="0.25">
      <c r="A32" s="56"/>
      <c r="B32" s="261" t="str">
        <f>'Teine 42'!B32</f>
        <v>Röstitud porgandid</v>
      </c>
      <c r="C32" s="262">
        <v>100</v>
      </c>
      <c r="D32" s="23">
        <f>C32*'Teine 42'!D32/'Teine 42'!C32</f>
        <v>51.4</v>
      </c>
      <c r="E32" s="23">
        <f>D32*'Teine 42'!E32/'Teine 42'!D32</f>
        <v>6.46</v>
      </c>
      <c r="F32" s="23">
        <f>E32*'Teine 42'!F32/'Teine 42'!E32</f>
        <v>1.79</v>
      </c>
      <c r="G32" s="23">
        <f>F32*'Teine 42'!G32/'Teine 42'!F32</f>
        <v>0.69199999999999995</v>
      </c>
    </row>
    <row r="33" spans="1:7" x14ac:dyDescent="0.25">
      <c r="A33" s="56"/>
      <c r="B33" s="261" t="str">
        <f>'Teine 42'!B33</f>
        <v>Kuskuss, aurutatud (G)</v>
      </c>
      <c r="C33" s="262">
        <v>100</v>
      </c>
      <c r="D33" s="23">
        <f>C33*'Teine 42'!D33/'Teine 42'!C33</f>
        <v>121.18571428571428</v>
      </c>
      <c r="E33" s="23">
        <f>D33*'Teine 42'!E33/'Teine 42'!D33</f>
        <v>25.071428571428569</v>
      </c>
      <c r="F33" s="23">
        <f>E33*'Teine 42'!F33/'Teine 42'!E33</f>
        <v>0.72857142857142854</v>
      </c>
      <c r="G33" s="23">
        <f>F33*'Teine 42'!G33/'Teine 42'!F33</f>
        <v>4.1285714285714281</v>
      </c>
    </row>
    <row r="34" spans="1:7" x14ac:dyDescent="0.25">
      <c r="A34" s="57"/>
      <c r="B34" s="261" t="str">
        <f>'Teine 42'!B34</f>
        <v>Kaalika-õunasalat</v>
      </c>
      <c r="C34" s="262">
        <v>50</v>
      </c>
      <c r="D34" s="23">
        <f>C34*'Teine 42'!D34/'Teine 42'!C34</f>
        <v>27.5</v>
      </c>
      <c r="E34" s="23">
        <f>D34*'Teine 42'!E34/'Teine 42'!D34</f>
        <v>4.88</v>
      </c>
      <c r="F34" s="23">
        <f>E34*'Teine 42'!F34/'Teine 42'!E34</f>
        <v>1.03</v>
      </c>
      <c r="G34" s="23">
        <f>F34*'Teine 42'!G34/'Teine 42'!F34</f>
        <v>0.41</v>
      </c>
    </row>
    <row r="35" spans="1:7" x14ac:dyDescent="0.25">
      <c r="A35" s="57"/>
      <c r="B35" s="261" t="str">
        <f>'Teine 42'!B35</f>
        <v>Peet, kapsas, läätsed (keedetud)</v>
      </c>
      <c r="C35" s="262">
        <v>50</v>
      </c>
      <c r="D35" s="23">
        <f>C35*'Teine 42'!D35/'Teine 42'!C35</f>
        <v>67.010000000000005</v>
      </c>
      <c r="E35" s="23">
        <f>D35*'Teine 42'!E35/'Teine 42'!D35</f>
        <v>13.49</v>
      </c>
      <c r="F35" s="23">
        <f>E35*'Teine 42'!F35/'Teine 42'!E35</f>
        <v>0.34</v>
      </c>
      <c r="G35" s="23">
        <f>F35*'Teine 42'!G35/'Teine 42'!F35</f>
        <v>3.8900000000000006</v>
      </c>
    </row>
    <row r="36" spans="1:7" x14ac:dyDescent="0.25">
      <c r="A36" s="57"/>
      <c r="B36" s="261" t="str">
        <f>'Teine 42'!B36</f>
        <v>Salatikaste</v>
      </c>
      <c r="C36" s="262">
        <v>5</v>
      </c>
      <c r="D36" s="23">
        <f>C36*'Teine 42'!D36/'Teine 42'!C36</f>
        <v>35.25</v>
      </c>
      <c r="E36" s="23">
        <f>D36*'Teine 42'!E36/'Teine 42'!D36</f>
        <v>2.9999999999999995E-2</v>
      </c>
      <c r="F36" s="23">
        <f>E36*'Teine 42'!F36/'Teine 42'!E36</f>
        <v>3.8999999999999995</v>
      </c>
      <c r="G36" s="23">
        <f>F36*'Teine 42'!G36/'Teine 42'!F36</f>
        <v>9.9999999999999985E-3</v>
      </c>
    </row>
    <row r="37" spans="1:7" x14ac:dyDescent="0.25">
      <c r="A37" s="57"/>
      <c r="B37" s="261" t="str">
        <f>'Teine 42'!B37</f>
        <v>Seemnesegu</v>
      </c>
      <c r="C37" s="263">
        <v>15</v>
      </c>
      <c r="D37" s="23">
        <f>C37*'Teine 42'!D37/'Teine 42'!C37</f>
        <v>91.65</v>
      </c>
      <c r="E37" s="23">
        <f>D37*'Teine 42'!E37/'Teine 42'!D37</f>
        <v>2.13</v>
      </c>
      <c r="F37" s="23">
        <f>E37*'Teine 42'!F37/'Teine 42'!E37</f>
        <v>8.0399999999999991</v>
      </c>
      <c r="G37" s="23">
        <f>F37*'Teine 42'!G37/'Teine 42'!F37</f>
        <v>3.36</v>
      </c>
    </row>
    <row r="38" spans="1:7" x14ac:dyDescent="0.25">
      <c r="A38" s="57"/>
      <c r="B38" s="261" t="s">
        <v>136</v>
      </c>
      <c r="C38" s="255">
        <v>100</v>
      </c>
      <c r="D38" s="23"/>
      <c r="E38" s="23"/>
      <c r="F38" s="23"/>
      <c r="G38" s="23"/>
    </row>
    <row r="39" spans="1:7" x14ac:dyDescent="0.25">
      <c r="A39" s="56"/>
      <c r="B39" s="261" t="str">
        <f>'Teine 42'!B39</f>
        <v>Rukkileiva- ja sepikutoodete valik (G)</v>
      </c>
      <c r="C39" s="26">
        <v>60</v>
      </c>
      <c r="D39" s="23">
        <f>C39*'Teine 42'!D39/'Teine 42'!C39</f>
        <v>138</v>
      </c>
      <c r="E39" s="23">
        <f>D39*'Teine 42'!E39/'Teine 42'!D39</f>
        <v>29.520000000000003</v>
      </c>
      <c r="F39" s="23">
        <f>E39*'Teine 42'!F39/'Teine 42'!E39</f>
        <v>0.99599999999999989</v>
      </c>
      <c r="G39" s="23">
        <f>F39*'Teine 42'!G39/'Teine 42'!F39</f>
        <v>4.7279999999999998</v>
      </c>
    </row>
    <row r="40" spans="1:7" x14ac:dyDescent="0.25">
      <c r="A40" s="56"/>
      <c r="B40" s="261" t="s">
        <v>125</v>
      </c>
      <c r="C40" s="26">
        <v>100</v>
      </c>
      <c r="D40" s="23">
        <f>C40*'Teine 42'!D40/'Teine 42'!C40</f>
        <v>45.7</v>
      </c>
      <c r="E40" s="23">
        <f>D40*'Teine 42'!E40/'Teine 42'!D40</f>
        <v>10.01</v>
      </c>
      <c r="F40" s="23">
        <f>E40*'Teine 42'!F40/'Teine 42'!E40</f>
        <v>0.3</v>
      </c>
      <c r="G40" s="23">
        <f>F40*'Teine 42'!G40/'Teine 42'!F40</f>
        <v>0.5</v>
      </c>
    </row>
    <row r="41" spans="1:7" x14ac:dyDescent="0.25">
      <c r="A41" s="69"/>
      <c r="B41" s="257"/>
      <c r="C41" s="178"/>
      <c r="D41" s="186">
        <f>SUM(D30:D39)</f>
        <v>763.31571428571419</v>
      </c>
      <c r="E41" s="186">
        <f t="shared" ref="E41:G41" si="0">SUM(E30:E39)</f>
        <v>99.797678571428577</v>
      </c>
      <c r="F41" s="186">
        <f t="shared" si="0"/>
        <v>27.071071428571425</v>
      </c>
      <c r="G41" s="186">
        <f t="shared" si="0"/>
        <v>33.447321428571435</v>
      </c>
    </row>
    <row r="42" spans="1:7" x14ac:dyDescent="0.25">
      <c r="A42" s="336" t="s">
        <v>79</v>
      </c>
      <c r="B42" s="113" t="s">
        <v>88</v>
      </c>
      <c r="C42" s="314">
        <v>150</v>
      </c>
      <c r="D42" s="338">
        <f>1.07*247.77</f>
        <v>265.1139</v>
      </c>
      <c r="E42" s="338">
        <f>1.07*34.98</f>
        <v>37.428599999999996</v>
      </c>
      <c r="F42" s="338">
        <f>1.07*7.94</f>
        <v>8.4958000000000009</v>
      </c>
      <c r="G42" s="338">
        <f>1.07*6.343</f>
        <v>6.7870100000000004</v>
      </c>
    </row>
    <row r="43" spans="1:7" x14ac:dyDescent="0.25">
      <c r="A43" s="68" t="s">
        <v>11</v>
      </c>
      <c r="B43" s="258"/>
      <c r="C43" s="63" t="s">
        <v>2</v>
      </c>
      <c r="D43" s="63" t="s">
        <v>3</v>
      </c>
      <c r="E43" s="63" t="s">
        <v>4</v>
      </c>
      <c r="F43" s="63" t="s">
        <v>5</v>
      </c>
      <c r="G43" s="63" t="s">
        <v>6</v>
      </c>
    </row>
    <row r="44" spans="1:7" x14ac:dyDescent="0.25">
      <c r="A44" s="64" t="s">
        <v>7</v>
      </c>
      <c r="B44" s="261" t="str">
        <f>'Teine 42'!B44</f>
        <v>Kodune kalaseljanka</v>
      </c>
      <c r="C44" s="23">
        <v>175</v>
      </c>
      <c r="D44" s="23">
        <f>C44*'Teine 42'!D44/'Teine 42'!C44</f>
        <v>190.75</v>
      </c>
      <c r="E44" s="23">
        <f>D44*'Teine 42'!E44/'Teine 42'!D44</f>
        <v>12.915000000000001</v>
      </c>
      <c r="F44" s="23">
        <f>E44*'Teine 42'!F44/'Teine 42'!E44</f>
        <v>9.17</v>
      </c>
      <c r="G44" s="23">
        <f>F44*'Teine 42'!G44/'Teine 42'!F44</f>
        <v>9.9610000000000003</v>
      </c>
    </row>
    <row r="45" spans="1:7" x14ac:dyDescent="0.25">
      <c r="A45" s="57"/>
      <c r="B45" s="261" t="str">
        <f>'Teine 42'!B45</f>
        <v>Külasupp sealihaga (G)</v>
      </c>
      <c r="C45" s="262">
        <v>175</v>
      </c>
      <c r="D45" s="23">
        <f>C45*'Teine 42'!D45/'Teine 42'!C45</f>
        <v>122.53500000000001</v>
      </c>
      <c r="E45" s="23">
        <f>D45*'Teine 42'!E45/'Teine 42'!D45</f>
        <v>12.928999999999998</v>
      </c>
      <c r="F45" s="23">
        <f>E45*'Teine 42'!F45/'Teine 42'!E45</f>
        <v>5.9359999999999999</v>
      </c>
      <c r="G45" s="23">
        <f>F45*'Teine 42'!G45/'Teine 42'!F45</f>
        <v>5.2639999999999993</v>
      </c>
    </row>
    <row r="46" spans="1:7" x14ac:dyDescent="0.25">
      <c r="A46" s="57"/>
      <c r="B46" s="261" t="str">
        <f>'Teine 42'!B46</f>
        <v>Hapukoor (L)</v>
      </c>
      <c r="C46" s="398">
        <v>10</v>
      </c>
      <c r="D46" s="23">
        <f>C46*'Teine 42'!D46/'Teine 42'!C46</f>
        <v>22.2</v>
      </c>
      <c r="E46" s="23">
        <f>D46*'Teine 42'!E46/'Teine 42'!D46</f>
        <v>0.38</v>
      </c>
      <c r="F46" s="23">
        <f>E46*'Teine 42'!F46/'Teine 42'!E46</f>
        <v>2.15</v>
      </c>
      <c r="G46" s="23">
        <f>F46*'Teine 42'!G46/'Teine 42'!F46</f>
        <v>0.33</v>
      </c>
    </row>
    <row r="47" spans="1:7" x14ac:dyDescent="0.25">
      <c r="A47" s="305"/>
      <c r="B47" s="261" t="str">
        <f>'Teine 42'!B47</f>
        <v>Mustsõstra-rukkivaht piimaga</v>
      </c>
      <c r="C47" s="262">
        <v>160</v>
      </c>
      <c r="D47" s="23">
        <f>C47*'Teine 42'!D47/'Teine 42'!C47</f>
        <v>136</v>
      </c>
      <c r="E47" s="23">
        <f>D47*'Teine 42'!E47/'Teine 42'!D47</f>
        <v>29.12</v>
      </c>
      <c r="F47" s="23">
        <f>E47*'Teine 42'!F47/'Teine 42'!E47</f>
        <v>0.44600000000000001</v>
      </c>
      <c r="G47" s="23">
        <f>F47*'Teine 42'!G47/'Teine 42'!F47</f>
        <v>2.56</v>
      </c>
    </row>
    <row r="48" spans="1:7" x14ac:dyDescent="0.25">
      <c r="A48" s="56"/>
      <c r="B48" s="261" t="s">
        <v>136</v>
      </c>
      <c r="C48" s="263">
        <v>100</v>
      </c>
      <c r="D48" s="23"/>
      <c r="E48" s="23"/>
      <c r="F48" s="23"/>
      <c r="G48" s="23"/>
    </row>
    <row r="49" spans="1:12" s="9" customFormat="1" x14ac:dyDescent="0.25">
      <c r="A49" s="56"/>
      <c r="B49" s="261" t="str">
        <f>'Teine 42'!B49</f>
        <v xml:space="preserve">Rukkileiva- ja sepikutoodete valik </v>
      </c>
      <c r="C49" s="262">
        <v>60</v>
      </c>
      <c r="D49" s="23">
        <f>C49*'Teine 42'!D49/'Teine 42'!C49</f>
        <v>138</v>
      </c>
      <c r="E49" s="23">
        <f>D49*'Teine 42'!E49/'Teine 42'!D49</f>
        <v>29.520000000000003</v>
      </c>
      <c r="F49" s="23">
        <f>E49*'Teine 42'!F49/'Teine 42'!E49</f>
        <v>0.99599999999999989</v>
      </c>
      <c r="G49" s="23">
        <f>F49*'Teine 42'!G49/'Teine 42'!F49</f>
        <v>4.7279999999999998</v>
      </c>
    </row>
    <row r="50" spans="1:12" x14ac:dyDescent="0.25">
      <c r="A50" s="56"/>
      <c r="B50" s="261" t="s">
        <v>130</v>
      </c>
      <c r="C50" s="255">
        <v>100</v>
      </c>
      <c r="D50" s="23">
        <f>C50*'Teine 42'!D50/'Teine 42'!C50</f>
        <v>32.4</v>
      </c>
      <c r="E50" s="23">
        <f>D50*'Teine 42'!E50/'Teine 42'!D50</f>
        <v>5.6</v>
      </c>
      <c r="F50" s="23">
        <f>E50*'Teine 42'!F50/'Teine 42'!E50</f>
        <v>0.19999999999999998</v>
      </c>
      <c r="G50" s="23">
        <f>F50*'Teine 42'!G50/'Teine 42'!F50</f>
        <v>0.59999999999999987</v>
      </c>
    </row>
    <row r="51" spans="1:12" x14ac:dyDescent="0.25">
      <c r="A51" s="69"/>
      <c r="B51" s="257" t="str">
        <f>'Teine 42'!B51</f>
        <v>Kokku:</v>
      </c>
      <c r="C51" s="66"/>
      <c r="D51" s="85">
        <f>SUM(D44:D50)</f>
        <v>641.88499999999999</v>
      </c>
      <c r="E51" s="85">
        <f>SUM(E44:E50)</f>
        <v>90.463999999999999</v>
      </c>
      <c r="F51" s="85">
        <f>SUM(F44:F50)</f>
        <v>18.898</v>
      </c>
      <c r="G51" s="85">
        <f>SUM(G44:G50)</f>
        <v>23.442999999999998</v>
      </c>
    </row>
    <row r="52" spans="1:12" x14ac:dyDescent="0.25">
      <c r="A52" s="14" t="s">
        <v>79</v>
      </c>
      <c r="B52" s="12" t="s">
        <v>64</v>
      </c>
      <c r="C52" s="314">
        <v>350</v>
      </c>
      <c r="D52" s="260">
        <f>185.1*1.16</f>
        <v>214.71599999999998</v>
      </c>
      <c r="E52" s="260">
        <f>7.66*1.16</f>
        <v>8.8856000000000002</v>
      </c>
      <c r="F52" s="260">
        <f>8.08*1.16</f>
        <v>9.3727999999999998</v>
      </c>
      <c r="G52" s="260">
        <f>12.78*1.16</f>
        <v>14.824799999999998</v>
      </c>
      <c r="H52" s="11"/>
      <c r="I52" s="11"/>
      <c r="J52" s="11"/>
      <c r="K52" s="11"/>
      <c r="L52" s="11"/>
    </row>
    <row r="53" spans="1:12" x14ac:dyDescent="0.25">
      <c r="A53" s="68" t="s">
        <v>12</v>
      </c>
      <c r="B53" s="258"/>
      <c r="C53" s="63" t="s">
        <v>2</v>
      </c>
      <c r="D53" s="63" t="s">
        <v>3</v>
      </c>
      <c r="E53" s="63" t="s">
        <v>4</v>
      </c>
      <c r="F53" s="63" t="s">
        <v>5</v>
      </c>
      <c r="G53" s="63" t="s">
        <v>6</v>
      </c>
      <c r="H53" s="11"/>
      <c r="I53" s="11"/>
      <c r="J53" s="11"/>
      <c r="K53" s="11"/>
      <c r="L53" s="11"/>
    </row>
    <row r="54" spans="1:12" x14ac:dyDescent="0.25">
      <c r="A54" s="64" t="s">
        <v>7</v>
      </c>
      <c r="B54" s="261" t="str">
        <f>'Teine 42'!B54</f>
        <v>Ühepajatoit sealihaga</v>
      </c>
      <c r="C54" s="23">
        <v>75</v>
      </c>
      <c r="D54" s="23">
        <f>C54*'Teine 42'!D54/'Teine 42'!C54</f>
        <v>69.996428571428567</v>
      </c>
      <c r="E54" s="23">
        <f>D54*'Teine 42'!E54/'Teine 42'!D54</f>
        <v>11.614285714285714</v>
      </c>
      <c r="F54" s="23">
        <f>E54*'Teine 42'!F54/'Teine 42'!E54</f>
        <v>8.6517857142857135</v>
      </c>
      <c r="G54" s="23">
        <f>F54*'Teine 42'!G54/'Teine 42'!F54</f>
        <v>4.7249999999999996</v>
      </c>
    </row>
    <row r="55" spans="1:12" ht="14.25" customHeight="1" x14ac:dyDescent="0.25">
      <c r="A55" s="56"/>
      <c r="B55" s="261" t="str">
        <f>'Teine 42'!B55</f>
        <v>Böfstrooganov (G, L)</v>
      </c>
      <c r="C55" s="262">
        <v>75</v>
      </c>
      <c r="D55" s="23">
        <f>C55*'Teine 42'!D55/'Teine 42'!C55</f>
        <v>126.17142857142858</v>
      </c>
      <c r="E55" s="23">
        <f>D55*'Teine 42'!E55/'Teine 42'!D55</f>
        <v>6.3</v>
      </c>
      <c r="F55" s="23">
        <f>E55*'Teine 42'!F55/'Teine 42'!E55</f>
        <v>9.053571428571427</v>
      </c>
      <c r="G55" s="23">
        <f>F55*'Teine 42'!G55/'Teine 42'!F55</f>
        <v>5.2767857142857135</v>
      </c>
    </row>
    <row r="56" spans="1:12" ht="14.25" customHeight="1" x14ac:dyDescent="0.25">
      <c r="A56" s="56"/>
      <c r="B56" s="261" t="str">
        <f>'Teine 42'!B56</f>
        <v>Kartul, aurutatud</v>
      </c>
      <c r="C56" s="398">
        <v>100</v>
      </c>
      <c r="D56" s="23">
        <f>C56*'Teine 42'!D56/'Teine 42'!C56</f>
        <v>74.975999999999999</v>
      </c>
      <c r="E56" s="23">
        <f>D56*'Teine 42'!E56/'Teine 42'!D56</f>
        <v>17.324000000000002</v>
      </c>
      <c r="F56" s="23">
        <f>E56*'Teine 42'!F56/'Teine 42'!E56</f>
        <v>9.9400000000000002E-2</v>
      </c>
      <c r="G56" s="23">
        <f>F56*'Teine 42'!G56/'Teine 42'!F56</f>
        <v>1.9454</v>
      </c>
    </row>
    <row r="57" spans="1:12" ht="14.25" customHeight="1" x14ac:dyDescent="0.25">
      <c r="A57" s="56"/>
      <c r="B57" s="261" t="str">
        <f>'Teine 42'!B57</f>
        <v>Tatar, aurutatud</v>
      </c>
      <c r="C57" s="398">
        <v>100</v>
      </c>
      <c r="D57" s="23">
        <f>C57*'Teine 42'!D57/'Teine 42'!C57</f>
        <v>74.975999999999999</v>
      </c>
      <c r="E57" s="23">
        <f>D57*'Teine 42'!E57/'Teine 42'!D57</f>
        <v>17.324000000000002</v>
      </c>
      <c r="F57" s="23">
        <f>E57*'Teine 42'!F57/'Teine 42'!E57</f>
        <v>9.9400000000000002E-2</v>
      </c>
      <c r="G57" s="23">
        <f>F57*'Teine 42'!G57/'Teine 42'!F57</f>
        <v>1.9454</v>
      </c>
    </row>
    <row r="58" spans="1:12" ht="14.25" customHeight="1" x14ac:dyDescent="0.25">
      <c r="A58" s="56"/>
      <c r="B58" s="261" t="str">
        <f>'Teine 42'!B58</f>
        <v>Kruubid, keedetud</v>
      </c>
      <c r="C58" s="398">
        <v>100</v>
      </c>
      <c r="D58" s="23">
        <f>C58*'Teine 42'!D58/'Teine 42'!C58</f>
        <v>113</v>
      </c>
      <c r="E58" s="23">
        <f>D58*'Teine 42'!E58/'Teine 42'!D58</f>
        <v>22.4</v>
      </c>
      <c r="F58" s="23">
        <f>E58*'Teine 42'!F58/'Teine 42'!E58</f>
        <v>0.70899999999999996</v>
      </c>
      <c r="G58" s="23">
        <f>F58*'Teine 42'!G58/'Teine 42'!F58</f>
        <v>2.94</v>
      </c>
    </row>
    <row r="59" spans="1:12" x14ac:dyDescent="0.25">
      <c r="A59" s="56"/>
      <c r="B59" s="261" t="str">
        <f>'Teine 42'!B59</f>
        <v>Peedisalat porruga</v>
      </c>
      <c r="C59" s="262">
        <v>50</v>
      </c>
      <c r="D59" s="23">
        <f>C59*'Teine 42'!D59/'Teine 42'!C59</f>
        <v>28.12</v>
      </c>
      <c r="E59" s="23">
        <f>D59*'Teine 42'!E59/'Teine 42'!D59</f>
        <v>4.2699999999999996</v>
      </c>
      <c r="F59" s="23">
        <f>E59*'Teine 42'!F59/'Teine 42'!E59</f>
        <v>1.26</v>
      </c>
      <c r="G59" s="23">
        <f>F59*'Teine 42'!G59/'Teine 42'!F59</f>
        <v>0.54</v>
      </c>
    </row>
    <row r="60" spans="1:12" x14ac:dyDescent="0.25">
      <c r="A60" s="56"/>
      <c r="B60" s="261" t="str">
        <f>'Teine 42'!B60</f>
        <v>Punane kapsas, roheline hernes, marineeritud kurk</v>
      </c>
      <c r="C60" s="262">
        <v>50</v>
      </c>
      <c r="D60" s="23">
        <f>C60*'Teine 42'!D60/'Teine 42'!C60</f>
        <v>28.6</v>
      </c>
      <c r="E60" s="23">
        <f>D60*'Teine 42'!E60/'Teine 42'!D60</f>
        <v>2.86</v>
      </c>
      <c r="F60" s="23">
        <f>E60*'Teine 42'!F60/'Teine 42'!E60</f>
        <v>1.115</v>
      </c>
      <c r="G60" s="23">
        <f>F60*'Teine 42'!G60/'Teine 42'!F60</f>
        <v>0.91</v>
      </c>
    </row>
    <row r="61" spans="1:12" x14ac:dyDescent="0.25">
      <c r="A61" s="56"/>
      <c r="B61" s="261" t="str">
        <f>'Teine 42'!B61</f>
        <v>Salatikaste</v>
      </c>
      <c r="C61" s="262">
        <v>5</v>
      </c>
      <c r="D61" s="23">
        <f>C61*'Teine 42'!D61/'Teine 42'!C61</f>
        <v>35.25</v>
      </c>
      <c r="E61" s="23">
        <f>D61*'Teine 42'!E61/'Teine 42'!D61</f>
        <v>2.9999999999999995E-2</v>
      </c>
      <c r="F61" s="23">
        <f>E61*'Teine 42'!F61/'Teine 42'!E61</f>
        <v>3.8999999999999995</v>
      </c>
      <c r="G61" s="23">
        <f>F61*'Teine 42'!G61/'Teine 42'!F61</f>
        <v>9.9999999999999985E-3</v>
      </c>
    </row>
    <row r="62" spans="1:12" x14ac:dyDescent="0.25">
      <c r="A62" s="56"/>
      <c r="B62" s="261" t="str">
        <f>'Teine 42'!B62</f>
        <v>Seemnesegu</v>
      </c>
      <c r="C62" s="262">
        <v>15</v>
      </c>
      <c r="D62" s="23">
        <f>C62*'Teine 42'!D62/'Teine 42'!C62</f>
        <v>91.649849999999986</v>
      </c>
      <c r="E62" s="23">
        <f>D62*'Teine 42'!E62/'Teine 42'!D62</f>
        <v>2.1298499999999998</v>
      </c>
      <c r="F62" s="23">
        <f>E62*'Teine 42'!F62/'Teine 42'!E62</f>
        <v>8.0398499999999995</v>
      </c>
      <c r="G62" s="23">
        <f>F62*'Teine 42'!G62/'Teine 42'!F62</f>
        <v>3.3598499999999998</v>
      </c>
    </row>
    <row r="63" spans="1:12" x14ac:dyDescent="0.25">
      <c r="A63" s="56"/>
      <c r="B63" s="261" t="s">
        <v>136</v>
      </c>
      <c r="C63" s="262">
        <v>100</v>
      </c>
      <c r="D63" s="23"/>
      <c r="E63" s="23"/>
      <c r="F63" s="23"/>
      <c r="G63" s="23"/>
    </row>
    <row r="64" spans="1:12" x14ac:dyDescent="0.25">
      <c r="A64" s="56"/>
      <c r="B64" s="261" t="str">
        <f>'Teine 42'!B64</f>
        <v>Maasika-jogurti smuuti kaerahelvestega (L, G)</v>
      </c>
      <c r="C64" s="262">
        <v>200</v>
      </c>
      <c r="D64" s="23">
        <f>C64*'Teine 42'!D64/'Teine 42'!C64</f>
        <v>232</v>
      </c>
      <c r="E64" s="23">
        <f>D64*'Teine 42'!E64/'Teine 42'!D64</f>
        <v>35.799999999999997</v>
      </c>
      <c r="F64" s="23">
        <f>E64*'Teine 42'!F64/'Teine 42'!E64</f>
        <v>4.74</v>
      </c>
      <c r="G64" s="23">
        <f>F64*'Teine 42'!G64/'Teine 42'!F64</f>
        <v>6.8</v>
      </c>
    </row>
    <row r="65" spans="1:7" x14ac:dyDescent="0.25">
      <c r="A65" s="56"/>
      <c r="B65" s="261" t="str">
        <f>'Teine 42'!B65</f>
        <v>Rukkileiva- ja sepikutoodete valik (G)</v>
      </c>
      <c r="C65" s="263">
        <v>60</v>
      </c>
      <c r="D65" s="23">
        <f>C65*'Teine 42'!D65/'Teine 42'!C65</f>
        <v>138</v>
      </c>
      <c r="E65" s="23">
        <f>D65*'Teine 42'!E65/'Teine 42'!D65</f>
        <v>29.520000000000003</v>
      </c>
      <c r="F65" s="23">
        <f>E65*'Teine 42'!F65/'Teine 42'!E65</f>
        <v>0.99599999999999989</v>
      </c>
      <c r="G65" s="23">
        <f>F65*'Teine 42'!G65/'Teine 42'!F65</f>
        <v>4.7279999999999998</v>
      </c>
    </row>
    <row r="66" spans="1:7" x14ac:dyDescent="0.25">
      <c r="A66" s="57"/>
      <c r="B66" s="261" t="str">
        <f>'Teine 42'!B66</f>
        <v>Banaan</v>
      </c>
      <c r="C66" s="262">
        <v>100</v>
      </c>
      <c r="D66" s="23">
        <f>C66*'Teine 42'!D66/'Teine 42'!C66</f>
        <v>67.599999999999994</v>
      </c>
      <c r="E66" s="23">
        <f>D66*'Teine 42'!E66/'Teine 42'!D66</f>
        <v>15.3</v>
      </c>
      <c r="F66" s="23">
        <f>E66*'Teine 42'!F66/'Teine 42'!E66</f>
        <v>0.2</v>
      </c>
      <c r="G66" s="23">
        <f>F66*'Teine 42'!G66/'Teine 42'!F66</f>
        <v>0.80000000000000016</v>
      </c>
    </row>
    <row r="67" spans="1:7" x14ac:dyDescent="0.25">
      <c r="A67" s="65"/>
      <c r="B67" s="317" t="s">
        <v>8</v>
      </c>
      <c r="C67" s="326"/>
      <c r="D67" s="239">
        <f>SUM(D54:D66)</f>
        <v>1080.3397071428572</v>
      </c>
      <c r="E67" s="239">
        <f>SUM(E54:E66)</f>
        <v>164.87213571428572</v>
      </c>
      <c r="F67" s="239">
        <f>SUM(F54:F66)</f>
        <v>38.86400714285714</v>
      </c>
      <c r="G67" s="239">
        <f>SUM(G54:G66)</f>
        <v>33.980435714285711</v>
      </c>
    </row>
    <row r="68" spans="1:7" x14ac:dyDescent="0.25">
      <c r="A68" s="310" t="s">
        <v>79</v>
      </c>
      <c r="B68" s="308" t="s">
        <v>89</v>
      </c>
      <c r="C68" s="313">
        <v>150</v>
      </c>
      <c r="D68" s="26">
        <f>1.07*176.5</f>
        <v>188.85500000000002</v>
      </c>
      <c r="E68" s="26">
        <f>1.07*20.8</f>
        <v>22.256000000000004</v>
      </c>
      <c r="F68" s="26">
        <f>1.07*9.65</f>
        <v>10.325500000000002</v>
      </c>
      <c r="G68" s="26">
        <f>1.07*6.825</f>
        <v>7.3027500000000005</v>
      </c>
    </row>
    <row r="69" spans="1:7" x14ac:dyDescent="0.25">
      <c r="B69" s="16" t="s">
        <v>13</v>
      </c>
      <c r="D69" s="44">
        <f>AVERAGE(D16,D41,D26,D51,D67)</f>
        <v>851.04614142857133</v>
      </c>
      <c r="E69" s="44">
        <f>AVERAGE(E16,E41,E26,E51,E67)</f>
        <v>121.6492485714286</v>
      </c>
      <c r="F69" s="44">
        <f>AVERAGE(F16,F41,F26,F51,F67)</f>
        <v>28.180001428571426</v>
      </c>
      <c r="G69" s="44">
        <f>AVERAGE(G16,G41,G26,G51,G67)</f>
        <v>31.882988571428577</v>
      </c>
    </row>
    <row r="70" spans="1:7" x14ac:dyDescent="0.25">
      <c r="A70" s="303" t="s">
        <v>84</v>
      </c>
      <c r="B70" s="304"/>
    </row>
    <row r="71" spans="1:7" x14ac:dyDescent="0.25">
      <c r="A71" s="10" t="s">
        <v>63</v>
      </c>
      <c r="B71" s="10"/>
      <c r="C71" s="10"/>
      <c r="D71" s="10"/>
    </row>
  </sheetData>
  <pageMargins left="0.7" right="0.7" top="0.75" bottom="0.75" header="0.3" footer="0.3"/>
  <pageSetup paperSize="9" scale="64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57735-3F33-4606-9084-334018AB9E84}">
  <sheetPr>
    <pageSetUpPr fitToPage="1"/>
  </sheetPr>
  <dimension ref="A1:L71"/>
  <sheetViews>
    <sheetView zoomScale="81" zoomScaleNormal="81" workbookViewId="0">
      <selection activeCell="K39" sqref="K39"/>
    </sheetView>
  </sheetViews>
  <sheetFormatPr defaultColWidth="9.28515625" defaultRowHeight="15.75" x14ac:dyDescent="0.25"/>
  <cols>
    <col min="1" max="1" width="24" style="12" customWidth="1"/>
    <col min="2" max="2" width="52.7109375" style="12" customWidth="1"/>
    <col min="3" max="3" width="9.7109375" style="12" customWidth="1"/>
    <col min="4" max="4" width="14.42578125" style="12" customWidth="1"/>
    <col min="5" max="5" width="14.7109375" style="12" bestFit="1" customWidth="1"/>
    <col min="6" max="6" width="10.7109375" style="12" customWidth="1"/>
    <col min="7" max="7" width="11.5703125" style="12" customWidth="1"/>
    <col min="8" max="16384" width="9.28515625" style="12"/>
  </cols>
  <sheetData>
    <row r="1" spans="1:11" ht="19.899999999999999" customHeight="1" x14ac:dyDescent="0.25">
      <c r="B1" s="98"/>
    </row>
    <row r="2" spans="1:11" ht="48.75" customHeight="1" x14ac:dyDescent="0.35">
      <c r="A2" s="5" t="str">
        <f>'Teine 44'!A2</f>
        <v>Koolilõuna 30.10-03.11.2023</v>
      </c>
      <c r="B2" s="4"/>
      <c r="C2" s="10" t="s">
        <v>66</v>
      </c>
      <c r="D2" s="11"/>
    </row>
    <row r="3" spans="1:11" s="9" customFormat="1" ht="26.65" customHeight="1" x14ac:dyDescent="0.25">
      <c r="A3" s="61" t="s">
        <v>1</v>
      </c>
      <c r="B3" s="88"/>
      <c r="C3" s="70" t="s">
        <v>2</v>
      </c>
      <c r="D3" s="70" t="s">
        <v>3</v>
      </c>
      <c r="E3" s="70" t="s">
        <v>4</v>
      </c>
      <c r="F3" s="70" t="s">
        <v>5</v>
      </c>
      <c r="G3" s="70" t="s">
        <v>6</v>
      </c>
    </row>
    <row r="4" spans="1:11" x14ac:dyDescent="0.25">
      <c r="A4" s="71" t="s">
        <v>7</v>
      </c>
      <c r="B4" s="264" t="str">
        <f>'Teine 44'!B4</f>
        <v>Chilli con carne (mahedamaitseline tšilli)</v>
      </c>
      <c r="C4" s="265">
        <v>75</v>
      </c>
      <c r="D4" s="265">
        <f>C4*'Teine 44'!D4/'Teine 44'!C4</f>
        <v>98.678571428571431</v>
      </c>
      <c r="E4" s="265">
        <f>D4*'Teine 44'!E4/'Teine 44'!D4</f>
        <v>10.633928571428573</v>
      </c>
      <c r="F4" s="265">
        <f>E4*'Teine 44'!F4/'Teine 44'!E4</f>
        <v>4.6500000000000004</v>
      </c>
      <c r="G4" s="265">
        <f>F4*'Teine 44'!G4/'Teine 44'!F4</f>
        <v>4.5321428571428584</v>
      </c>
    </row>
    <row r="5" spans="1:11" x14ac:dyDescent="0.25">
      <c r="A5" s="71"/>
      <c r="B5" s="264" t="str">
        <f>'Teine 44'!B5</f>
        <v>Valge kalafileetükid koorekastmes (L, G)</v>
      </c>
      <c r="C5" s="400">
        <v>75</v>
      </c>
      <c r="D5" s="265">
        <f>C5*'Teine 44'!D5/'Teine 44'!C5</f>
        <v>87.241071428571431</v>
      </c>
      <c r="E5" s="265">
        <f>D5*'Teine 44'!E5/'Teine 44'!D5</f>
        <v>6.4660714285714294</v>
      </c>
      <c r="F5" s="265">
        <f>E5*'Teine 44'!F5/'Teine 44'!E5</f>
        <v>6.7553571428571431</v>
      </c>
      <c r="G5" s="265">
        <f>F5*'Teine 44'!G5/'Teine 44'!F5</f>
        <v>10.050000000000002</v>
      </c>
    </row>
    <row r="6" spans="1:11" x14ac:dyDescent="0.25">
      <c r="A6" s="71"/>
      <c r="B6" s="264" t="str">
        <f>'Teine 44'!B6</f>
        <v>Kolme riisi segu, aurutatud</v>
      </c>
      <c r="C6" s="400">
        <v>100</v>
      </c>
      <c r="D6" s="265">
        <f>C6*'Teine 44'!D6/'Teine 44'!C6</f>
        <v>158.57142857142858</v>
      </c>
      <c r="E6" s="265">
        <f>D6*'Teine 44'!E6/'Teine 44'!D6</f>
        <v>35.571428571428569</v>
      </c>
      <c r="F6" s="265">
        <f>E6*'Teine 44'!F6/'Teine 44'!E6</f>
        <v>0.5714285714285714</v>
      </c>
      <c r="G6" s="265">
        <f>F6*'Teine 44'!G6/'Teine 44'!F6</f>
        <v>3.5714285714285707</v>
      </c>
    </row>
    <row r="7" spans="1:11" x14ac:dyDescent="0.25">
      <c r="A7" s="59"/>
      <c r="B7" s="264" t="str">
        <f>'Teine 44'!B7</f>
        <v>Täisterapasta/pasta (G)</v>
      </c>
      <c r="C7" s="266">
        <v>125</v>
      </c>
      <c r="D7" s="265">
        <f>C7*'Teine 44'!D7/'Teine 44'!C7</f>
        <v>223.65</v>
      </c>
      <c r="E7" s="265">
        <f>D7*'Teine 44'!E7/'Teine 44'!D7</f>
        <v>42.625000000000007</v>
      </c>
      <c r="F7" s="265">
        <f>E7*'Teine 44'!F7/'Teine 44'!E7</f>
        <v>1.75</v>
      </c>
      <c r="G7" s="265">
        <f>F7*'Teine 44'!G7/'Teine 44'!F7</f>
        <v>8.25</v>
      </c>
    </row>
    <row r="8" spans="1:11" x14ac:dyDescent="0.25">
      <c r="A8" s="59"/>
      <c r="B8" s="264" t="str">
        <f>'Teine 44'!B8</f>
        <v>Röstitud peet</v>
      </c>
      <c r="C8" s="266">
        <v>125</v>
      </c>
      <c r="D8" s="265">
        <f>C8*'Teine 44'!D8/'Teine 44'!C8</f>
        <v>74</v>
      </c>
      <c r="E8" s="265">
        <f>D8*'Teine 44'!E8/'Teine 44'!D8</f>
        <v>9.9499999999999993</v>
      </c>
      <c r="F8" s="265">
        <f>E8*'Teine 44'!F8/'Teine 44'!E8</f>
        <v>2.2374999999999998</v>
      </c>
      <c r="G8" s="265">
        <f>F8*'Teine 44'!G8/'Teine 44'!F8</f>
        <v>1.7124999999999999</v>
      </c>
    </row>
    <row r="9" spans="1:11" x14ac:dyDescent="0.25">
      <c r="A9" s="59"/>
      <c r="B9" s="264" t="str">
        <f>'Teine 44'!B9</f>
        <v>Kapsasalat magusa maisiga</v>
      </c>
      <c r="C9" s="265">
        <v>50</v>
      </c>
      <c r="D9" s="265">
        <f>C9*'Teine 44'!D9/'Teine 44'!C9</f>
        <v>19.100000000000001</v>
      </c>
      <c r="E9" s="265">
        <f>D9*'Teine 44'!E9/'Teine 44'!D9</f>
        <v>3.21</v>
      </c>
      <c r="F9" s="265">
        <f>E9*'Teine 44'!F9/'Teine 44'!E9</f>
        <v>0.14849999999999999</v>
      </c>
      <c r="G9" s="265">
        <f>F9*'Teine 44'!G9/'Teine 44'!F9</f>
        <v>0.72499999999999998</v>
      </c>
    </row>
    <row r="10" spans="1:11" x14ac:dyDescent="0.25">
      <c r="A10" s="59"/>
      <c r="B10" s="264" t="str">
        <f>'Teine 44'!B10</f>
        <v>Kaalikas, suvikõrvits, šampinjonid peterselliga</v>
      </c>
      <c r="C10" s="266">
        <v>50</v>
      </c>
      <c r="D10" s="265">
        <f>C10*'Teine 44'!D10/'Teine 44'!C10</f>
        <v>31</v>
      </c>
      <c r="E10" s="265">
        <f>D10*'Teine 44'!E10/'Teine 44'!D10</f>
        <v>2.0350000000000001</v>
      </c>
      <c r="F10" s="265">
        <f>E10*'Teine 44'!F10/'Teine 44'!E10</f>
        <v>2.06</v>
      </c>
      <c r="G10" s="265">
        <f>F10*'Teine 44'!G10/'Teine 44'!F10</f>
        <v>0.73499999999999999</v>
      </c>
    </row>
    <row r="11" spans="1:11" x14ac:dyDescent="0.25">
      <c r="A11" s="59"/>
      <c r="B11" s="264" t="str">
        <f>'Teine 44'!B11</f>
        <v>Salatikaste</v>
      </c>
      <c r="C11" s="266">
        <v>5</v>
      </c>
      <c r="D11" s="265">
        <f>C11*'Teine 44'!D11/'Teine 44'!C11</f>
        <v>35.25</v>
      </c>
      <c r="E11" s="265">
        <f>D11*'Teine 44'!E11/'Teine 44'!D11</f>
        <v>2.9999999999999995E-2</v>
      </c>
      <c r="F11" s="265">
        <f>E11*'Teine 44'!F11/'Teine 44'!E11</f>
        <v>3.8999999999999995</v>
      </c>
      <c r="G11" s="265">
        <f>F11*'Teine 44'!G11/'Teine 44'!F11</f>
        <v>9.9999999999999985E-3</v>
      </c>
    </row>
    <row r="12" spans="1:11" x14ac:dyDescent="0.25">
      <c r="A12" s="59"/>
      <c r="B12" s="264" t="str">
        <f>'Teine 44'!B12</f>
        <v>Seemnesegu</v>
      </c>
      <c r="C12" s="267">
        <v>15</v>
      </c>
      <c r="D12" s="265">
        <f>C12*'Teine 44'!D12/'Teine 44'!C12</f>
        <v>91.65</v>
      </c>
      <c r="E12" s="265">
        <f>D12*'Teine 44'!E12/'Teine 44'!D12</f>
        <v>2.13</v>
      </c>
      <c r="F12" s="265">
        <f>E12*'Teine 44'!F12/'Teine 44'!E12</f>
        <v>8.0399999999999991</v>
      </c>
      <c r="G12" s="265">
        <f>F12*'Teine 44'!G12/'Teine 44'!F12</f>
        <v>3.36</v>
      </c>
      <c r="H12" s="11"/>
      <c r="I12" s="11"/>
      <c r="J12" s="11"/>
      <c r="K12" s="11"/>
    </row>
    <row r="13" spans="1:11" x14ac:dyDescent="0.25">
      <c r="A13" s="59"/>
      <c r="B13" s="264" t="s">
        <v>136</v>
      </c>
      <c r="C13" s="268">
        <v>100</v>
      </c>
      <c r="D13" s="265"/>
      <c r="E13" s="265"/>
      <c r="F13" s="265"/>
      <c r="G13" s="265"/>
      <c r="H13" s="11"/>
      <c r="I13" s="11"/>
      <c r="J13" s="11"/>
      <c r="K13" s="11"/>
    </row>
    <row r="14" spans="1:11" x14ac:dyDescent="0.25">
      <c r="A14" s="59"/>
      <c r="B14" s="264" t="str">
        <f>'Teine 44'!B14</f>
        <v>Rukkileiva- ja sepikutoodete valik (G)</v>
      </c>
      <c r="C14" s="92">
        <v>60</v>
      </c>
      <c r="D14" s="265">
        <f>C14*'Teine 44'!D14/'Teine 44'!C14</f>
        <v>138</v>
      </c>
      <c r="E14" s="265">
        <f>D14*'Teine 44'!E14/'Teine 44'!D14</f>
        <v>29.520000000000003</v>
      </c>
      <c r="F14" s="265">
        <f>E14*'Teine 44'!F14/'Teine 44'!E14</f>
        <v>0.99599999999999989</v>
      </c>
      <c r="G14" s="265">
        <f>F14*'Teine 44'!G14/'Teine 44'!F14</f>
        <v>4.7279999999999998</v>
      </c>
    </row>
    <row r="15" spans="1:11" x14ac:dyDescent="0.25">
      <c r="A15" s="59"/>
      <c r="B15" s="264" t="s">
        <v>128</v>
      </c>
      <c r="C15" s="92">
        <v>100</v>
      </c>
      <c r="D15" s="265">
        <f>C15*'Teine 44'!D15/'Teine 44'!C15</f>
        <v>48.3</v>
      </c>
      <c r="E15" s="265">
        <f>D15*'Teine 44'!E15/'Teine 44'!D15</f>
        <v>10.9</v>
      </c>
      <c r="F15" s="265">
        <f>E15*'Teine 44'!F15/'Teine 44'!E15</f>
        <v>0</v>
      </c>
      <c r="G15" s="265">
        <v>0</v>
      </c>
    </row>
    <row r="16" spans="1:11" x14ac:dyDescent="0.25">
      <c r="A16" s="65"/>
      <c r="B16" s="269" t="str">
        <f>'Teine 44'!B16</f>
        <v>Kokku:</v>
      </c>
      <c r="C16" s="178"/>
      <c r="D16" s="187">
        <f>SUM(D4:D14)</f>
        <v>957.14107142857142</v>
      </c>
      <c r="E16" s="187">
        <f>SUM(E4:E14)</f>
        <v>142.17142857142858</v>
      </c>
      <c r="F16" s="187">
        <f>SUM(F4:F14)</f>
        <v>31.108785714285709</v>
      </c>
      <c r="G16" s="187">
        <f>SUM(G4:G14)</f>
        <v>37.674071428571438</v>
      </c>
    </row>
    <row r="17" spans="1:8" x14ac:dyDescent="0.25">
      <c r="A17" s="14" t="s">
        <v>79</v>
      </c>
      <c r="B17" s="12" t="s">
        <v>90</v>
      </c>
      <c r="C17" s="314">
        <v>150</v>
      </c>
      <c r="D17" s="26">
        <f>1.07*152.2</f>
        <v>162.85399999999998</v>
      </c>
      <c r="E17" s="26">
        <f>1.07*16.37</f>
        <v>17.515900000000002</v>
      </c>
      <c r="F17" s="26">
        <f>1.07*4.005</f>
        <v>4.2853500000000002</v>
      </c>
      <c r="G17" s="26">
        <f>1.07*13.365</f>
        <v>14.300550000000001</v>
      </c>
    </row>
    <row r="18" spans="1:8" s="9" customFormat="1" ht="28.9" customHeight="1" x14ac:dyDescent="0.25">
      <c r="A18" s="61" t="s">
        <v>9</v>
      </c>
      <c r="B18" s="270"/>
      <c r="C18" s="63" t="s">
        <v>2</v>
      </c>
      <c r="D18" s="63" t="s">
        <v>3</v>
      </c>
      <c r="E18" s="63" t="s">
        <v>4</v>
      </c>
      <c r="F18" s="63" t="s">
        <v>5</v>
      </c>
      <c r="G18" s="63" t="s">
        <v>6</v>
      </c>
    </row>
    <row r="19" spans="1:8" x14ac:dyDescent="0.25">
      <c r="A19" s="64" t="s">
        <v>7</v>
      </c>
      <c r="B19" s="271" t="str">
        <f>'Teine 44'!B19</f>
        <v>Peedisupp veiseliha ja riivitud keedumunaga</v>
      </c>
      <c r="C19" s="23">
        <v>175</v>
      </c>
      <c r="D19" s="84">
        <f>C19*'Teine 44'!D19/'Teine 44'!C19</f>
        <v>155.75</v>
      </c>
      <c r="E19" s="84">
        <f>D19*'Teine 44'!E19/'Teine 44'!D19</f>
        <v>16.925999999999998</v>
      </c>
      <c r="F19" s="84">
        <f>E19*'Teine 44'!F19/'Teine 44'!E19</f>
        <v>7.4410000000000007</v>
      </c>
      <c r="G19" s="84">
        <f>F19*'Teine 44'!G19/'Teine 44'!F19</f>
        <v>10.836</v>
      </c>
    </row>
    <row r="20" spans="1:8" x14ac:dyDescent="0.25">
      <c r="A20" s="64"/>
      <c r="B20" s="271" t="str">
        <f>'Teine 44'!B20</f>
        <v>Hapukoor (L)</v>
      </c>
      <c r="C20" s="23">
        <v>10</v>
      </c>
      <c r="D20" s="84">
        <f>C20*'Teine 44'!D20/'Teine 44'!C20</f>
        <v>22.2</v>
      </c>
      <c r="E20" s="84">
        <f>D20*'Teine 44'!E20/'Teine 44'!D20</f>
        <v>0.38</v>
      </c>
      <c r="F20" s="84">
        <f>E20*'Teine 44'!F20/'Teine 44'!E20</f>
        <v>2.15</v>
      </c>
      <c r="G20" s="84">
        <f>F20*'Teine 44'!G20/'Teine 44'!F20</f>
        <v>0.33</v>
      </c>
    </row>
    <row r="21" spans="1:8" x14ac:dyDescent="0.25">
      <c r="A21" s="64"/>
      <c r="B21" s="271" t="str">
        <f>'Teine 44'!B21</f>
        <v>Kana-nuudlisupp</v>
      </c>
      <c r="C21" s="23">
        <v>175</v>
      </c>
      <c r="D21" s="84">
        <f>C21*'Teine 44'!D21/'Teine 44'!C21</f>
        <v>152.66999999999999</v>
      </c>
      <c r="E21" s="84">
        <f>D21*'Teine 44'!E21/'Teine 44'!D21</f>
        <v>16.338000000000001</v>
      </c>
      <c r="F21" s="84">
        <f>E21*'Teine 44'!F21/'Teine 44'!E21</f>
        <v>5.2080000000000011</v>
      </c>
      <c r="G21" s="84">
        <f>F21*'Teine 44'!G21/'Teine 44'!F21</f>
        <v>9.2190000000000012</v>
      </c>
    </row>
    <row r="22" spans="1:8" x14ac:dyDescent="0.25">
      <c r="A22" s="64"/>
      <c r="B22" s="271" t="str">
        <f>'Teine 44'!B22</f>
        <v>Vanillipuding punase sõstrapüreega (L)</v>
      </c>
      <c r="C22" s="262">
        <v>160</v>
      </c>
      <c r="D22" s="84">
        <f>C22*'Teine 44'!D22/'Teine 44'!C22</f>
        <v>222.4</v>
      </c>
      <c r="E22" s="84">
        <f>D22*'Teine 44'!E22/'Teine 44'!D22</f>
        <v>35.840000000000003</v>
      </c>
      <c r="F22" s="84">
        <f>E22*'Teine 44'!F22/'Teine 44'!E22</f>
        <v>5.92</v>
      </c>
      <c r="G22" s="84">
        <f>F22*'Teine 44'!G22/'Teine 44'!F22</f>
        <v>5.92</v>
      </c>
    </row>
    <row r="23" spans="1:8" x14ac:dyDescent="0.25">
      <c r="A23" s="56"/>
      <c r="B23" s="271" t="str">
        <f>'Teine 44'!B23</f>
        <v>PRIA Piimatooted (piim, keefir) (L)</v>
      </c>
      <c r="C23" s="263">
        <v>100</v>
      </c>
      <c r="D23" s="84"/>
      <c r="E23" s="84"/>
      <c r="F23" s="84"/>
      <c r="G23" s="84"/>
      <c r="H23" s="11"/>
    </row>
    <row r="24" spans="1:8" x14ac:dyDescent="0.25">
      <c r="A24" s="57"/>
      <c r="B24" s="271" t="str">
        <f>'Teine 44'!B24</f>
        <v>Rukkileiva- ja sepikutoodete valik (G)</v>
      </c>
      <c r="C24" s="262">
        <v>60</v>
      </c>
      <c r="D24" s="84">
        <f>C24*'Teine 44'!D24/'Teine 44'!C24</f>
        <v>138</v>
      </c>
      <c r="E24" s="84">
        <f>D24*'Teine 44'!E24/'Teine 44'!D24</f>
        <v>29.520000000000003</v>
      </c>
      <c r="F24" s="84">
        <f>E24*'Teine 44'!F24/'Teine 44'!E24</f>
        <v>0.99599999999999989</v>
      </c>
      <c r="G24" s="84">
        <f>F24*'Teine 44'!G24/'Teine 44'!F24</f>
        <v>4.7279999999999998</v>
      </c>
    </row>
    <row r="25" spans="1:8" x14ac:dyDescent="0.25">
      <c r="A25" s="64"/>
      <c r="B25" s="271" t="s">
        <v>130</v>
      </c>
      <c r="C25" s="255">
        <v>100</v>
      </c>
      <c r="D25" s="84">
        <f>C25*'Teine 44'!D25/'Teine 44'!C25</f>
        <v>32.4</v>
      </c>
      <c r="E25" s="84">
        <f>D25*'Teine 44'!E25/'Teine 44'!D25</f>
        <v>5.6</v>
      </c>
      <c r="F25" s="84">
        <f>E25*'Teine 44'!F25/'Teine 44'!E25</f>
        <v>0.19999999999999998</v>
      </c>
      <c r="G25" s="84">
        <f>F25*'Teine 44'!G25/'Teine 44'!F25</f>
        <v>0.59999999999999987</v>
      </c>
    </row>
    <row r="26" spans="1:8" x14ac:dyDescent="0.25">
      <c r="A26" s="69"/>
      <c r="B26" s="269" t="str">
        <f>'Teine 44'!B26</f>
        <v>Kokku:</v>
      </c>
      <c r="C26" s="66"/>
      <c r="D26" s="149">
        <f>SUM(D19:D25)</f>
        <v>723.42</v>
      </c>
      <c r="E26" s="149">
        <f t="shared" ref="E26:G26" si="0">SUM(E19:E25)</f>
        <v>104.60400000000001</v>
      </c>
      <c r="F26" s="149">
        <f t="shared" si="0"/>
        <v>21.914999999999999</v>
      </c>
      <c r="G26" s="149">
        <f t="shared" si="0"/>
        <v>31.633000000000003</v>
      </c>
    </row>
    <row r="27" spans="1:8" x14ac:dyDescent="0.25">
      <c r="A27" s="14" t="s">
        <v>79</v>
      </c>
      <c r="B27" s="12" t="s">
        <v>117</v>
      </c>
      <c r="C27" s="314">
        <v>350</v>
      </c>
      <c r="D27" s="262">
        <f>221.74*1.16</f>
        <v>257.21839999999997</v>
      </c>
      <c r="E27" s="262">
        <f>20.76*1.16</f>
        <v>24.081600000000002</v>
      </c>
      <c r="F27" s="262">
        <f>11.45*1.16</f>
        <v>13.281999999999998</v>
      </c>
      <c r="G27" s="262">
        <f>9.23*1.16</f>
        <v>10.706799999999999</v>
      </c>
    </row>
    <row r="28" spans="1:8" s="9" customFormat="1" ht="29.65" customHeight="1" x14ac:dyDescent="0.25">
      <c r="A28" s="68" t="s">
        <v>10</v>
      </c>
      <c r="B28" s="270"/>
      <c r="C28" s="63" t="s">
        <v>2</v>
      </c>
      <c r="D28" s="63" t="s">
        <v>3</v>
      </c>
      <c r="E28" s="63" t="s">
        <v>4</v>
      </c>
      <c r="F28" s="63" t="s">
        <v>5</v>
      </c>
      <c r="G28" s="63" t="s">
        <v>6</v>
      </c>
    </row>
    <row r="29" spans="1:8" x14ac:dyDescent="0.25">
      <c r="A29" s="64" t="s">
        <v>7</v>
      </c>
      <c r="B29" s="271" t="str">
        <f>'Teine 44'!B29</f>
        <v>Hakkliha-porgandipikkpoiss (G) (portsjon)</v>
      </c>
      <c r="C29" s="23">
        <v>50</v>
      </c>
      <c r="D29" s="84">
        <f>C29*'Teine 44'!D29/'Teine 44'!C29</f>
        <v>156</v>
      </c>
      <c r="E29" s="84">
        <f>D29*'Teine 44'!E29/'Teine 44'!D29</f>
        <v>29.44</v>
      </c>
      <c r="F29" s="84">
        <f>E29*'Teine 44'!F29/'Teine 44'!E29</f>
        <v>9.5</v>
      </c>
      <c r="G29" s="84">
        <f>F29*'Teine 44'!G29/'Teine 44'!F29</f>
        <v>11.68</v>
      </c>
    </row>
    <row r="30" spans="1:8" x14ac:dyDescent="0.25">
      <c r="A30" s="64"/>
      <c r="B30" s="271" t="str">
        <f>'Teine 44'!B30</f>
        <v>Küpsetatud kanakitsuliha peterselliga</v>
      </c>
      <c r="C30" s="23">
        <v>50</v>
      </c>
      <c r="D30" s="84">
        <f>C30*'Teine 44'!D30/'Teine 44'!C30</f>
        <v>99.6</v>
      </c>
      <c r="E30" s="84">
        <f>D30*'Teine 44'!E30/'Teine 44'!D30</f>
        <v>0.67999999999999994</v>
      </c>
      <c r="F30" s="84">
        <f>E30*'Teine 44'!F30/'Teine 44'!E30</f>
        <v>4.2599999999999989</v>
      </c>
      <c r="G30" s="84">
        <f>F30*'Teine 44'!G30/'Teine 44'!F30</f>
        <v>14.459999999999997</v>
      </c>
    </row>
    <row r="31" spans="1:8" x14ac:dyDescent="0.25">
      <c r="A31" s="64"/>
      <c r="B31" s="271" t="str">
        <f>'Teine 44'!B31</f>
        <v>Kartuli-kruubipuder (G)</v>
      </c>
      <c r="C31" s="23">
        <v>100</v>
      </c>
      <c r="D31" s="84">
        <f>C31*'Teine 44'!D31/'Teine 44'!C31</f>
        <v>115</v>
      </c>
      <c r="E31" s="84">
        <f>D31*'Teine 44'!E31/'Teine 44'!D31</f>
        <v>15.4</v>
      </c>
      <c r="F31" s="84">
        <f>E31*'Teine 44'!F31/'Teine 44'!E31</f>
        <v>4.76</v>
      </c>
      <c r="G31" s="84">
        <f>F31*'Teine 44'!G31/'Teine 44'!F31</f>
        <v>2</v>
      </c>
    </row>
    <row r="32" spans="1:8" x14ac:dyDescent="0.25">
      <c r="A32" s="56"/>
      <c r="B32" s="271" t="str">
        <f>'Teine 44'!B32</f>
        <v>Tatar, aurutatud</v>
      </c>
      <c r="C32" s="262">
        <v>125</v>
      </c>
      <c r="D32" s="84">
        <f>C32*'Teine 44'!D32/'Teine 44'!C32</f>
        <v>93.72</v>
      </c>
      <c r="E32" s="84">
        <f>D32*'Teine 44'!E32/'Teine 44'!D32</f>
        <v>21.655000000000005</v>
      </c>
      <c r="F32" s="84">
        <f>E32*'Teine 44'!F32/'Teine 44'!E32</f>
        <v>0.12425000000000001</v>
      </c>
      <c r="G32" s="84">
        <f>F32*'Teine 44'!G32/'Teine 44'!F32</f>
        <v>2.4317500000000005</v>
      </c>
    </row>
    <row r="33" spans="1:10" x14ac:dyDescent="0.25">
      <c r="A33" s="56"/>
      <c r="B33" s="271" t="str">
        <f>'Teine 44'!B33</f>
        <v>Hernes-porgand-mais, aurutatud</v>
      </c>
      <c r="C33" s="262">
        <v>125</v>
      </c>
      <c r="D33" s="84">
        <f>C33*'Teine 44'!D33/'Teine 44'!C33</f>
        <v>73.375</v>
      </c>
      <c r="E33" s="84">
        <f>D33*'Teine 44'!E33/'Teine 44'!D33</f>
        <v>11.75</v>
      </c>
      <c r="F33" s="84">
        <f>E33*'Teine 44'!F33/'Teine 44'!E33</f>
        <v>0.54749999999999999</v>
      </c>
      <c r="G33" s="84">
        <f>F33*'Teine 44'!G33/'Teine 44'!F33</f>
        <v>2.9999999999999996</v>
      </c>
    </row>
    <row r="34" spans="1:10" s="9" customFormat="1" x14ac:dyDescent="0.25">
      <c r="A34" s="56"/>
      <c r="B34" s="271" t="str">
        <f>'Teine 44'!B34</f>
        <v>Soe koorekaste (L, G)</v>
      </c>
      <c r="C34" s="262">
        <v>50</v>
      </c>
      <c r="D34" s="84">
        <f>C34*'Teine 44'!D34/'Teine 44'!C34</f>
        <v>72.5</v>
      </c>
      <c r="E34" s="84">
        <f>D34*'Teine 44'!E34/'Teine 44'!D34</f>
        <v>3.47</v>
      </c>
      <c r="F34" s="84">
        <f>E34*'Teine 44'!F34/'Teine 44'!E34</f>
        <v>5.95</v>
      </c>
      <c r="G34" s="84">
        <f>F34*'Teine 44'!G34/'Teine 44'!F34</f>
        <v>1.1499999999999999</v>
      </c>
    </row>
    <row r="35" spans="1:10" s="9" customFormat="1" x14ac:dyDescent="0.25">
      <c r="A35" s="56"/>
      <c r="B35" s="271" t="str">
        <f>'Teine 44'!B35</f>
        <v>Hiina kapsa salat värske kurgi ja tilliga</v>
      </c>
      <c r="C35" s="262">
        <v>50</v>
      </c>
      <c r="D35" s="84">
        <f>C35*'Teine 44'!D35/'Teine 44'!C35</f>
        <v>15.6</v>
      </c>
      <c r="E35" s="84">
        <f>D35*'Teine 44'!E35/'Teine 44'!D35</f>
        <v>3.41</v>
      </c>
      <c r="F35" s="84">
        <f>E35*'Teine 44'!F35/'Teine 44'!E35</f>
        <v>0.91600000000000004</v>
      </c>
      <c r="G35" s="84">
        <f>F35*'Teine 44'!G35/'Teine 44'!F35</f>
        <v>0.63500000000000001</v>
      </c>
    </row>
    <row r="36" spans="1:10" x14ac:dyDescent="0.25">
      <c r="A36" s="56"/>
      <c r="B36" s="271" t="str">
        <f>'Teine 44'!B36</f>
        <v>Peet, kapsas, brokoli (aurutatud)</v>
      </c>
      <c r="C36" s="262">
        <v>50</v>
      </c>
      <c r="D36" s="84">
        <f>C36*'Teine 44'!D36/'Teine 44'!C36</f>
        <v>33.549999999999997</v>
      </c>
      <c r="E36" s="84">
        <f>D36*'Teine 44'!E36/'Teine 44'!D36</f>
        <v>2.44</v>
      </c>
      <c r="F36" s="84">
        <f>E36*'Teine 44'!F36/'Teine 44'!E36</f>
        <v>2.02</v>
      </c>
      <c r="G36" s="84">
        <f>F36*'Teine 44'!G36/'Teine 44'!F36</f>
        <v>0.85499999999999998</v>
      </c>
      <c r="H36" s="11"/>
      <c r="I36" s="11"/>
      <c r="J36" s="11"/>
    </row>
    <row r="37" spans="1:10" x14ac:dyDescent="0.25">
      <c r="A37" s="56"/>
      <c r="B37" s="271" t="str">
        <f>'Teine 44'!B37</f>
        <v>Salatikaste</v>
      </c>
      <c r="C37" s="266">
        <v>5</v>
      </c>
      <c r="D37" s="84">
        <f>C37*'Teine 44'!D37/'Teine 44'!C37</f>
        <v>35.25</v>
      </c>
      <c r="E37" s="84">
        <f>D37*'Teine 44'!E37/'Teine 44'!D37</f>
        <v>2.9999999999999995E-2</v>
      </c>
      <c r="F37" s="84">
        <f>E37*'Teine 44'!F37/'Teine 44'!E37</f>
        <v>3.8999999999999995</v>
      </c>
      <c r="G37" s="84">
        <f>F37*'Teine 44'!G37/'Teine 44'!F37</f>
        <v>9.9999999999999985E-3</v>
      </c>
      <c r="H37" s="11"/>
      <c r="I37" s="11"/>
      <c r="J37" s="11"/>
    </row>
    <row r="38" spans="1:10" x14ac:dyDescent="0.25">
      <c r="A38" s="56"/>
      <c r="B38" s="271" t="str">
        <f>'Teine 44'!B38</f>
        <v>Seemnesegu</v>
      </c>
      <c r="C38" s="266">
        <v>15</v>
      </c>
      <c r="D38" s="84">
        <f>C38*'Teine 44'!D38/'Teine 44'!C38</f>
        <v>91.65</v>
      </c>
      <c r="E38" s="84">
        <f>D38*'Teine 44'!E38/'Teine 44'!D38</f>
        <v>2.13</v>
      </c>
      <c r="F38" s="84">
        <f>E38*'Teine 44'!F38/'Teine 44'!E38</f>
        <v>8.0399999999999991</v>
      </c>
      <c r="G38" s="84">
        <f>F38*'Teine 44'!G38/'Teine 44'!F38</f>
        <v>3.36</v>
      </c>
      <c r="H38" s="11"/>
      <c r="I38" s="11"/>
      <c r="J38" s="11"/>
    </row>
    <row r="39" spans="1:10" x14ac:dyDescent="0.25">
      <c r="A39" s="57"/>
      <c r="B39" s="271" t="s">
        <v>136</v>
      </c>
      <c r="C39" s="263">
        <v>100</v>
      </c>
      <c r="D39" s="84"/>
      <c r="E39" s="272"/>
      <c r="F39" s="272"/>
      <c r="G39" s="272"/>
    </row>
    <row r="40" spans="1:10" x14ac:dyDescent="0.25">
      <c r="A40" s="64"/>
      <c r="B40" s="271" t="str">
        <f>'Teine 44'!B40</f>
        <v>Rukkileiva- ja sepikutoodete valik (G)</v>
      </c>
      <c r="C40" s="262">
        <v>60</v>
      </c>
      <c r="D40" s="84">
        <f>C40*'Teine 44'!D40/'Teine 44'!C40</f>
        <v>138</v>
      </c>
      <c r="E40" s="84">
        <f>D40*'Teine 44'!E40/'Teine 44'!D40</f>
        <v>29.520000000000003</v>
      </c>
      <c r="F40" s="84">
        <f>E40*'Teine 44'!F40/'Teine 44'!E40</f>
        <v>0.99599999999999989</v>
      </c>
      <c r="G40" s="84">
        <f>F40*'Teine 44'!G40/'Teine 44'!F40</f>
        <v>4.7279999999999998</v>
      </c>
    </row>
    <row r="41" spans="1:10" x14ac:dyDescent="0.25">
      <c r="A41" s="57"/>
      <c r="B41" s="271" t="s">
        <v>125</v>
      </c>
      <c r="C41" s="26">
        <v>100</v>
      </c>
      <c r="D41" s="84">
        <f>C41*'Teine 44'!D41/'Teine 44'!C41</f>
        <v>45.7</v>
      </c>
      <c r="E41" s="84">
        <f>D41*'Teine 44'!E41/'Teine 44'!D41</f>
        <v>10.01</v>
      </c>
      <c r="F41" s="84">
        <f>E41*'Teine 44'!F41/'Teine 44'!E41</f>
        <v>0.3</v>
      </c>
      <c r="G41" s="26">
        <v>0.5</v>
      </c>
    </row>
    <row r="42" spans="1:10" x14ac:dyDescent="0.25">
      <c r="A42" s="69"/>
      <c r="B42" s="269" t="str">
        <f>'Teine 44'!B42</f>
        <v>Kokku:</v>
      </c>
      <c r="C42" s="66"/>
      <c r="D42" s="149">
        <f>SUM(D30:D41)</f>
        <v>813.94500000000005</v>
      </c>
      <c r="E42" s="149">
        <f t="shared" ref="E42:G42" si="1">SUM(E30:E41)</f>
        <v>100.49500000000002</v>
      </c>
      <c r="F42" s="149">
        <f t="shared" si="1"/>
        <v>31.813749999999995</v>
      </c>
      <c r="G42" s="149">
        <f t="shared" si="1"/>
        <v>33.129750000000001</v>
      </c>
    </row>
    <row r="43" spans="1:10" x14ac:dyDescent="0.25">
      <c r="A43" s="14" t="s">
        <v>79</v>
      </c>
      <c r="B43" s="12" t="s">
        <v>120</v>
      </c>
      <c r="C43" s="335">
        <v>75</v>
      </c>
      <c r="D43" s="272">
        <v>104.374</v>
      </c>
      <c r="E43" s="272">
        <v>13.263</v>
      </c>
      <c r="F43" s="272">
        <v>3.456</v>
      </c>
      <c r="G43" s="272">
        <v>11.05</v>
      </c>
    </row>
    <row r="44" spans="1:10" s="9" customFormat="1" ht="28.9" customHeight="1" x14ac:dyDescent="0.25">
      <c r="A44" s="68" t="s">
        <v>11</v>
      </c>
      <c r="B44" s="270"/>
      <c r="C44" s="63" t="s">
        <v>2</v>
      </c>
      <c r="D44" s="63" t="s">
        <v>3</v>
      </c>
      <c r="E44" s="63" t="s">
        <v>4</v>
      </c>
      <c r="F44" s="63" t="s">
        <v>5</v>
      </c>
      <c r="G44" s="63" t="s">
        <v>6</v>
      </c>
    </row>
    <row r="45" spans="1:10" x14ac:dyDescent="0.25">
      <c r="A45" s="64" t="s">
        <v>7</v>
      </c>
      <c r="B45" s="271" t="str">
        <f>'Teine 44'!B45</f>
        <v>Koorene mintaifileesupp lillkapsa ja brokoliga</v>
      </c>
      <c r="C45" s="23">
        <v>175</v>
      </c>
      <c r="D45" s="84">
        <f>C45*'Teine 44'!D45/'Teine 44'!C45</f>
        <v>190.75</v>
      </c>
      <c r="E45" s="84">
        <f>D45*'Teine 44'!E45/'Teine 44'!D45</f>
        <v>15.946</v>
      </c>
      <c r="F45" s="84">
        <f>E45*'Teine 44'!F45/'Teine 44'!E45</f>
        <v>10.08</v>
      </c>
      <c r="G45" s="84">
        <f>F45*'Teine 44'!G45/'Teine 44'!F45</f>
        <v>5.4110000000000005</v>
      </c>
    </row>
    <row r="46" spans="1:10" x14ac:dyDescent="0.25">
      <c r="A46" s="64"/>
      <c r="B46" s="271" t="str">
        <f>'Teine 44'!B46</f>
        <v>Köögiviljasupp sealihaga</v>
      </c>
      <c r="C46" s="262">
        <v>175</v>
      </c>
      <c r="D46" s="84">
        <f>C46*'Teine 44'!D46/'Teine 44'!C46</f>
        <v>158.9</v>
      </c>
      <c r="E46" s="84">
        <f>D46*'Teine 44'!E46/'Teine 44'!D46</f>
        <v>8.2249999999999996</v>
      </c>
      <c r="F46" s="84">
        <f>E46*'Teine 44'!F46/'Teine 44'!E46</f>
        <v>7.4410000000000007</v>
      </c>
      <c r="G46" s="84">
        <f>F46*'Teine 44'!G46/'Teine 44'!F46</f>
        <v>6.1110000000000007</v>
      </c>
    </row>
    <row r="47" spans="1:10" x14ac:dyDescent="0.25">
      <c r="A47" s="57"/>
      <c r="B47" s="271" t="str">
        <f>'Teine 44'!B47</f>
        <v>Apelsinitarretis vahukoorega (L)</v>
      </c>
      <c r="C47" s="263">
        <v>160</v>
      </c>
      <c r="D47" s="84">
        <f>C47*'Teine 44'!D47/'Teine 44'!C47</f>
        <v>180.8</v>
      </c>
      <c r="E47" s="84">
        <f>D47*'Teine 44'!E47/'Teine 44'!D47</f>
        <v>20.64</v>
      </c>
      <c r="F47" s="84">
        <f>E47*'Teine 44'!F47/'Teine 44'!E47</f>
        <v>6.14</v>
      </c>
      <c r="G47" s="84">
        <f>F47*'Teine 44'!G47/'Teine 44'!F47</f>
        <v>3.9519999999999995</v>
      </c>
    </row>
    <row r="48" spans="1:10" ht="14.25" customHeight="1" x14ac:dyDescent="0.25">
      <c r="A48" s="56"/>
      <c r="B48" s="271" t="str">
        <f>'Teine 44'!B48</f>
        <v>PRIA Piimatooted (piim, keefir) (L)</v>
      </c>
      <c r="C48" s="255">
        <v>100</v>
      </c>
      <c r="D48" s="84"/>
      <c r="E48" s="84"/>
      <c r="F48" s="84"/>
      <c r="G48" s="84"/>
    </row>
    <row r="49" spans="1:12" x14ac:dyDescent="0.25">
      <c r="A49" s="56"/>
      <c r="B49" s="271" t="str">
        <f>'Teine 44'!B49</f>
        <v>Rukkileiva- ja sepikutoodete valik (G)</v>
      </c>
      <c r="C49" s="26">
        <v>60</v>
      </c>
      <c r="D49" s="84">
        <f>C49*'Teine 44'!D49/'Teine 44'!C49</f>
        <v>138</v>
      </c>
      <c r="E49" s="84">
        <f>D49*'Teine 44'!E49/'Teine 44'!D49</f>
        <v>29.520000000000003</v>
      </c>
      <c r="F49" s="84">
        <f>E49*'Teine 44'!F49/'Teine 44'!E49</f>
        <v>0.99599999999999989</v>
      </c>
      <c r="G49" s="84">
        <f>F49*'Teine 44'!G49/'Teine 44'!F49</f>
        <v>4.7279999999999998</v>
      </c>
    </row>
    <row r="50" spans="1:12" x14ac:dyDescent="0.25">
      <c r="A50" s="56"/>
      <c r="B50" s="271" t="s">
        <v>137</v>
      </c>
      <c r="C50" s="26">
        <v>100</v>
      </c>
      <c r="D50" s="84">
        <f>C50*'Teine 44'!D50/'Teine 44'!C50</f>
        <v>27.3</v>
      </c>
      <c r="E50" s="84">
        <f>D50*'Teine 44'!E50/'Teine 44'!D50</f>
        <v>4.24</v>
      </c>
      <c r="F50" s="84">
        <f>E50*'Teine 44'!F50/'Teine 44'!E50</f>
        <v>0.2</v>
      </c>
      <c r="G50" s="84">
        <f>F50*'Teine 44'!G50/'Teine 44'!F50</f>
        <v>1.1299999999999999</v>
      </c>
    </row>
    <row r="51" spans="1:12" x14ac:dyDescent="0.25">
      <c r="A51" s="65"/>
      <c r="B51" s="269" t="str">
        <f>'Teine 44'!B51</f>
        <v>Kokku:</v>
      </c>
      <c r="C51" s="178"/>
      <c r="D51" s="187">
        <f>SUM(D45:D49)</f>
        <v>668.45</v>
      </c>
      <c r="E51" s="187">
        <f>SUM(E45:E49)</f>
        <v>74.331000000000003</v>
      </c>
      <c r="F51" s="187">
        <f>SUM(F45:F49)</f>
        <v>24.657</v>
      </c>
      <c r="G51" s="187">
        <f>SUM(G45:G49)</f>
        <v>20.202000000000002</v>
      </c>
    </row>
    <row r="52" spans="1:12" x14ac:dyDescent="0.25">
      <c r="A52" s="14" t="s">
        <v>79</v>
      </c>
      <c r="B52" s="12" t="s">
        <v>91</v>
      </c>
      <c r="C52" s="314">
        <v>350</v>
      </c>
      <c r="D52" s="262">
        <f>1.16*240.3</f>
        <v>278.74799999999999</v>
      </c>
      <c r="E52" s="262">
        <f>1.16*33.12</f>
        <v>38.419199999999996</v>
      </c>
      <c r="F52" s="262">
        <f>1.16*5.16</f>
        <v>5.9855999999999998</v>
      </c>
      <c r="G52" s="262">
        <f>8.01*1.16</f>
        <v>9.291599999999999</v>
      </c>
    </row>
    <row r="53" spans="1:12" s="9" customFormat="1" ht="28.9" customHeight="1" x14ac:dyDescent="0.25">
      <c r="A53" s="68" t="s">
        <v>12</v>
      </c>
      <c r="B53" s="270"/>
      <c r="C53" s="63" t="s">
        <v>2</v>
      </c>
      <c r="D53" s="63" t="s">
        <v>3</v>
      </c>
      <c r="E53" s="63" t="s">
        <v>4</v>
      </c>
      <c r="F53" s="63" t="s">
        <v>5</v>
      </c>
      <c r="G53" s="63" t="s">
        <v>6</v>
      </c>
    </row>
    <row r="54" spans="1:12" x14ac:dyDescent="0.25">
      <c r="A54" s="64" t="s">
        <v>7</v>
      </c>
      <c r="B54" s="271" t="str">
        <f>'Teine 44'!B54</f>
        <v>Kurzeme strooganov (G, L)</v>
      </c>
      <c r="C54" s="23">
        <v>75</v>
      </c>
      <c r="D54" s="84">
        <f>C54*'Teine 44'!D54/'Teine 44'!C54</f>
        <v>136.88571428571427</v>
      </c>
      <c r="E54" s="84">
        <f>D54*'Teine 44'!E54/'Teine 44'!D54</f>
        <v>10.585714285714285</v>
      </c>
      <c r="F54" s="84">
        <f>E54*'Teine 44'!F54/'Teine 44'!E54</f>
        <v>7.9821428571428568</v>
      </c>
      <c r="G54" s="84">
        <f>F54*'Teine 44'!G54/'Teine 44'!F54</f>
        <v>4.2107142857142854</v>
      </c>
    </row>
    <row r="55" spans="1:12" x14ac:dyDescent="0.25">
      <c r="A55" s="64"/>
      <c r="B55" s="271" t="str">
        <f>'Teine 44'!B55</f>
        <v>Värskekapsa-hakklihahautis</v>
      </c>
      <c r="C55" s="23">
        <v>75</v>
      </c>
      <c r="D55" s="84">
        <f>C55*'Teine 44'!D55/'Teine 44'!C55</f>
        <v>134.25</v>
      </c>
      <c r="E55" s="84">
        <f>D55*'Teine 44'!E55/'Teine 44'!D55</f>
        <v>16.489285714285714</v>
      </c>
      <c r="F55" s="84">
        <f>E55*'Teine 44'!F55/'Teine 44'!E55</f>
        <v>5.5017857142857132</v>
      </c>
      <c r="G55" s="84">
        <f>F55*'Teine 44'!G55/'Teine 44'!F55</f>
        <v>3.5785714285714278</v>
      </c>
    </row>
    <row r="56" spans="1:12" x14ac:dyDescent="0.25">
      <c r="A56" s="64"/>
      <c r="B56" s="271" t="str">
        <f>'Teine 44'!B56</f>
        <v>Ahjukartulid ürtidega</v>
      </c>
      <c r="C56" s="262">
        <v>125</v>
      </c>
      <c r="D56" s="84">
        <f>C56*'Teine 44'!D56/'Teine 44'!C56</f>
        <v>150.3425</v>
      </c>
      <c r="E56" s="84">
        <f>D56*'Teine 44'!E56/'Teine 44'!D56</f>
        <v>30.08625</v>
      </c>
      <c r="F56" s="84">
        <f>E56*'Teine 44'!F56/'Teine 44'!E56</f>
        <v>4.3664999999999994</v>
      </c>
      <c r="G56" s="84">
        <f>F56*'Teine 44'!G56/'Teine 44'!F56</f>
        <v>3.1417499999999996</v>
      </c>
    </row>
    <row r="57" spans="1:12" x14ac:dyDescent="0.25">
      <c r="A57" s="64"/>
      <c r="B57" s="271" t="str">
        <f>'Teine 44'!B57</f>
        <v>Riis, aurutatud</v>
      </c>
      <c r="C57" s="262">
        <v>125</v>
      </c>
      <c r="D57" s="84">
        <f>C57*'Teine 44'!D57/'Teine 44'!C57</f>
        <v>161.52500000000001</v>
      </c>
      <c r="E57" s="84">
        <f>D57*'Teine 44'!E57/'Teine 44'!D57</f>
        <v>35.775000000000006</v>
      </c>
      <c r="F57" s="84">
        <f>E57*'Teine 44'!F57/'Teine 44'!E57</f>
        <v>0.31750000000000006</v>
      </c>
      <c r="G57" s="84">
        <f>F57*'Teine 44'!G57/'Teine 44'!F57</f>
        <v>3.6742500000000007</v>
      </c>
    </row>
    <row r="58" spans="1:12" x14ac:dyDescent="0.25">
      <c r="A58" s="57"/>
      <c r="B58" s="271" t="str">
        <f>'Teine 44'!B58</f>
        <v>Bulgur, keedetud (G)</v>
      </c>
      <c r="C58" s="262">
        <v>100</v>
      </c>
      <c r="D58" s="84">
        <f>C58*'Teine 44'!D58/'Teine 44'!C58</f>
        <v>122</v>
      </c>
      <c r="E58" s="84">
        <f>D58*'Teine 44'!E58/'Teine 44'!D58</f>
        <v>23.5</v>
      </c>
      <c r="F58" s="84">
        <f>E58*'Teine 44'!F58/'Teine 44'!E58</f>
        <v>0.79100000000000004</v>
      </c>
      <c r="G58" s="84">
        <f>F58*'Teine 44'!G58/'Teine 44'!F58</f>
        <v>4.0599999999999996</v>
      </c>
      <c r="H58" s="11"/>
      <c r="I58" s="11"/>
      <c r="J58" s="11"/>
    </row>
    <row r="59" spans="1:12" x14ac:dyDescent="0.25">
      <c r="A59" s="57"/>
      <c r="B59" s="271" t="str">
        <f>'Teine 44'!B59</f>
        <v>Kapsa-juurselleri-õunasalat</v>
      </c>
      <c r="C59" s="262">
        <v>50</v>
      </c>
      <c r="D59" s="84">
        <f>C59*'Teine 44'!D59/'Teine 44'!C59</f>
        <v>25.6</v>
      </c>
      <c r="E59" s="84">
        <f>D59*'Teine 44'!E59/'Teine 44'!D59</f>
        <v>6.99</v>
      </c>
      <c r="F59" s="84">
        <f>E59*'Teine 44'!F59/'Teine 44'!E59</f>
        <v>2.1</v>
      </c>
      <c r="G59" s="84">
        <f>F59*'Teine 44'!G59/'Teine 44'!F59</f>
        <v>1.03</v>
      </c>
    </row>
    <row r="60" spans="1:12" x14ac:dyDescent="0.25">
      <c r="A60" s="57"/>
      <c r="B60" s="271" t="str">
        <f>'Teine 44'!B60</f>
        <v>Porgand, punane sibul, rohelised herned</v>
      </c>
      <c r="C60" s="266">
        <v>50</v>
      </c>
      <c r="D60" s="84">
        <f>C60*'Teine 44'!D60/'Teine 44'!C60</f>
        <v>40.049999999999997</v>
      </c>
      <c r="E60" s="84">
        <f>D60*'Teine 44'!E60/'Teine 44'!D60</f>
        <v>4.6349999999999998</v>
      </c>
      <c r="F60" s="84">
        <f>E60*'Teine 44'!F60/'Teine 44'!E60</f>
        <v>1.1599999999999999</v>
      </c>
      <c r="G60" s="84">
        <f>F60*'Teine 44'!G60/'Teine 44'!F60</f>
        <v>1.57</v>
      </c>
    </row>
    <row r="61" spans="1:12" x14ac:dyDescent="0.25">
      <c r="A61" s="57"/>
      <c r="B61" s="271" t="str">
        <f>'Teine 44'!B61</f>
        <v>Salatikaste</v>
      </c>
      <c r="C61" s="266">
        <v>5</v>
      </c>
      <c r="D61" s="84">
        <f>C61*'Teine 44'!D61/'Teine 44'!C61</f>
        <v>35.25</v>
      </c>
      <c r="E61" s="84">
        <f>D61*'Teine 44'!E61/'Teine 44'!D61</f>
        <v>2.9999999999999995E-2</v>
      </c>
      <c r="F61" s="84">
        <f>E61*'Teine 44'!F61/'Teine 44'!E61</f>
        <v>3.8999999999999995</v>
      </c>
      <c r="G61" s="84">
        <f>F61*'Teine 44'!G61/'Teine 44'!F61</f>
        <v>9.9999999999999985E-3</v>
      </c>
    </row>
    <row r="62" spans="1:12" x14ac:dyDescent="0.25">
      <c r="A62" s="56"/>
      <c r="B62" s="271" t="str">
        <f>'Teine 44'!B62</f>
        <v>Seemnesegu</v>
      </c>
      <c r="C62" s="259">
        <v>5</v>
      </c>
      <c r="D62" s="84">
        <f>C62*'Teine 44'!D62/'Teine 44'!C62</f>
        <v>30.549950000000003</v>
      </c>
      <c r="E62" s="84">
        <f>D62*'Teine 44'!E62/'Teine 44'!D62</f>
        <v>0.70995000000000008</v>
      </c>
      <c r="F62" s="84">
        <f>E62*'Teine 44'!F62/'Teine 44'!E62</f>
        <v>2.6799500000000003</v>
      </c>
      <c r="G62" s="84">
        <f>F62*'Teine 44'!G62/'Teine 44'!F62</f>
        <v>1.1199500000000002</v>
      </c>
      <c r="H62" s="11"/>
      <c r="I62" s="11"/>
      <c r="J62" s="11"/>
      <c r="K62" s="11"/>
      <c r="L62" s="11"/>
    </row>
    <row r="63" spans="1:12" x14ac:dyDescent="0.25">
      <c r="A63" s="57"/>
      <c r="B63" s="271" t="str">
        <f>'Teine 44'!B63</f>
        <v>PRIA Piimatooted (piim, keefir) (L)</v>
      </c>
      <c r="C63" s="26">
        <v>100</v>
      </c>
      <c r="D63" s="84"/>
      <c r="E63" s="84"/>
      <c r="F63" s="84"/>
      <c r="G63" s="84"/>
    </row>
    <row r="64" spans="1:12" x14ac:dyDescent="0.25">
      <c r="A64" s="57"/>
      <c r="B64" s="271" t="str">
        <f>'Teine 44'!B64</f>
        <v>Kakaojook (L)</v>
      </c>
      <c r="C64" s="26">
        <v>100</v>
      </c>
      <c r="D64" s="84">
        <f>C64*'Teine 44'!D64/'Teine 44'!C64</f>
        <v>107</v>
      </c>
      <c r="E64" s="84">
        <f>D64*'Teine 44'!E64/'Teine 44'!D64</f>
        <v>15.7</v>
      </c>
      <c r="F64" s="84">
        <f>E64*'Teine 44'!F64/'Teine 44'!E64</f>
        <v>3.13</v>
      </c>
      <c r="G64" s="84">
        <f>F64*'Teine 44'!G64/'Teine 44'!F64</f>
        <v>3.66</v>
      </c>
    </row>
    <row r="65" spans="1:7" x14ac:dyDescent="0.25">
      <c r="A65" s="56"/>
      <c r="B65" s="271" t="str">
        <f>'Teine 44'!B65</f>
        <v>Rukkileiva- ja sepikutoodete valik (G)</v>
      </c>
      <c r="C65" s="26">
        <v>60</v>
      </c>
      <c r="D65" s="84">
        <f>C65*'Teine 44'!D65/'Teine 44'!C65</f>
        <v>138</v>
      </c>
      <c r="E65" s="84">
        <f>D65*'Teine 44'!E65/'Teine 44'!D65</f>
        <v>29.520000000000003</v>
      </c>
      <c r="F65" s="84">
        <f>E65*'Teine 44'!F65/'Teine 44'!E65</f>
        <v>0.99599999999999989</v>
      </c>
      <c r="G65" s="84">
        <f>F65*'Teine 44'!G65/'Teine 44'!F65</f>
        <v>4.7279999999999998</v>
      </c>
    </row>
    <row r="66" spans="1:7" x14ac:dyDescent="0.25">
      <c r="A66" s="56"/>
      <c r="B66" s="271" t="s">
        <v>131</v>
      </c>
      <c r="C66" s="26">
        <v>100</v>
      </c>
      <c r="D66" s="84">
        <f>C66*'Teine 44'!D66/'Teine 44'!C66</f>
        <v>46.4</v>
      </c>
      <c r="E66" s="84">
        <f>D66*'Teine 44'!E66/'Teine 44'!D66</f>
        <v>10.02</v>
      </c>
      <c r="F66" s="84">
        <f>E66*'Teine 44'!F66/'Teine 44'!E66</f>
        <v>0</v>
      </c>
      <c r="G66" s="84">
        <v>0.3</v>
      </c>
    </row>
    <row r="67" spans="1:7" x14ac:dyDescent="0.25">
      <c r="A67" s="69"/>
      <c r="B67" s="317" t="s">
        <v>8</v>
      </c>
      <c r="C67" s="329"/>
      <c r="D67" s="180">
        <f>SUM(D54:D65)</f>
        <v>1081.4531642857141</v>
      </c>
      <c r="E67" s="180">
        <f t="shared" ref="E67:G67" si="2">SUM(E54:E65)</f>
        <v>174.02119999999999</v>
      </c>
      <c r="F67" s="180">
        <f t="shared" si="2"/>
        <v>32.924878571428572</v>
      </c>
      <c r="G67" s="180">
        <f t="shared" si="2"/>
        <v>30.783235714285716</v>
      </c>
    </row>
    <row r="68" spans="1:7" x14ac:dyDescent="0.25">
      <c r="A68" s="315" t="s">
        <v>79</v>
      </c>
      <c r="B68" s="308" t="s">
        <v>135</v>
      </c>
      <c r="C68" s="313">
        <v>150</v>
      </c>
      <c r="D68" s="274">
        <f>1.07*169.89</f>
        <v>181.78229999999999</v>
      </c>
      <c r="E68" s="274">
        <f>1.07*11.235</f>
        <v>12.02145</v>
      </c>
      <c r="F68" s="274">
        <f>1.07*10.05</f>
        <v>10.753500000000001</v>
      </c>
      <c r="G68" s="274">
        <f>1.07*5.52</f>
        <v>5.9063999999999997</v>
      </c>
    </row>
    <row r="69" spans="1:7" x14ac:dyDescent="0.25">
      <c r="B69" s="16" t="s">
        <v>13</v>
      </c>
      <c r="D69" s="45">
        <f>(D16+D26+D42+D51+D67)/5</f>
        <v>848.88184714285705</v>
      </c>
      <c r="E69" s="45">
        <f>(E16+E26+E42+E51+E67)/5</f>
        <v>119.12452571428574</v>
      </c>
      <c r="F69" s="45">
        <f>(F16+F26+F42+F51+F67)/5</f>
        <v>28.483882857142856</v>
      </c>
      <c r="G69" s="45">
        <f>(G16+G26+G42+G51+G67)/5</f>
        <v>30.684411428571433</v>
      </c>
    </row>
    <row r="70" spans="1:7" x14ac:dyDescent="0.25">
      <c r="A70" s="303" t="s">
        <v>84</v>
      </c>
      <c r="B70" s="304"/>
    </row>
    <row r="71" spans="1:7" x14ac:dyDescent="0.25">
      <c r="A71" s="10" t="s">
        <v>63</v>
      </c>
      <c r="B71" s="10"/>
      <c r="C71" s="10"/>
      <c r="D71" s="10"/>
    </row>
  </sheetData>
  <pageMargins left="0.7" right="0.7" top="0.75" bottom="0.75" header="0.3" footer="0.3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0"/>
  <sheetViews>
    <sheetView zoomScale="87" zoomScaleNormal="87" workbookViewId="0">
      <selection activeCell="B29" sqref="B29"/>
    </sheetView>
  </sheetViews>
  <sheetFormatPr defaultColWidth="9.28515625" defaultRowHeight="15.75" x14ac:dyDescent="0.25"/>
  <cols>
    <col min="1" max="1" width="22.7109375" style="113" customWidth="1"/>
    <col min="2" max="2" width="64.7109375" style="113" customWidth="1"/>
    <col min="3" max="3" width="12.7109375" style="113" customWidth="1"/>
    <col min="4" max="4" width="14" style="113" customWidth="1"/>
    <col min="5" max="5" width="14.7109375" style="113" bestFit="1" customWidth="1"/>
    <col min="6" max="7" width="10.7109375" style="113" customWidth="1"/>
    <col min="8" max="16384" width="9.28515625" style="113"/>
  </cols>
  <sheetData>
    <row r="1" spans="1:16" x14ac:dyDescent="0.25">
      <c r="B1" s="114"/>
    </row>
    <row r="2" spans="1:16" ht="48" customHeight="1" x14ac:dyDescent="0.35">
      <c r="A2" s="133" t="s">
        <v>32</v>
      </c>
      <c r="B2" s="134"/>
      <c r="C2" s="10" t="s">
        <v>66</v>
      </c>
      <c r="D2" s="11"/>
    </row>
    <row r="3" spans="1:16" s="119" customFormat="1" ht="24" customHeight="1" x14ac:dyDescent="0.25">
      <c r="A3" s="116" t="s">
        <v>1</v>
      </c>
      <c r="B3" s="117"/>
      <c r="C3" s="118" t="s">
        <v>2</v>
      </c>
      <c r="D3" s="118" t="s">
        <v>3</v>
      </c>
      <c r="E3" s="118" t="s">
        <v>4</v>
      </c>
      <c r="F3" s="118" t="s">
        <v>5</v>
      </c>
      <c r="G3" s="118" t="s">
        <v>6</v>
      </c>
    </row>
    <row r="4" spans="1:16" x14ac:dyDescent="0.25">
      <c r="A4" s="120" t="s">
        <v>7</v>
      </c>
      <c r="B4" s="220" t="s">
        <v>104</v>
      </c>
      <c r="C4" s="197">
        <v>70</v>
      </c>
      <c r="D4" s="222">
        <v>144.19999999999999</v>
      </c>
      <c r="E4" s="222">
        <v>11.45</v>
      </c>
      <c r="F4" s="222">
        <v>6.97</v>
      </c>
      <c r="G4" s="222">
        <v>6.62</v>
      </c>
    </row>
    <row r="5" spans="1:16" x14ac:dyDescent="0.25">
      <c r="A5" s="120"/>
      <c r="B5" s="352" t="s">
        <v>145</v>
      </c>
      <c r="C5" s="197">
        <v>70</v>
      </c>
      <c r="D5" s="222">
        <v>86.86</v>
      </c>
      <c r="E5" s="222">
        <v>11.79</v>
      </c>
      <c r="F5" s="222">
        <v>2.2999999999999998</v>
      </c>
      <c r="G5" s="222">
        <v>5.23</v>
      </c>
    </row>
    <row r="6" spans="1:16" x14ac:dyDescent="0.25">
      <c r="A6" s="121"/>
      <c r="B6" s="25" t="s">
        <v>93</v>
      </c>
      <c r="C6" s="26">
        <v>100</v>
      </c>
      <c r="D6" s="26">
        <v>178.92</v>
      </c>
      <c r="E6" s="26">
        <v>34.1</v>
      </c>
      <c r="F6" s="26">
        <v>1.4</v>
      </c>
      <c r="G6" s="26">
        <v>6.6</v>
      </c>
    </row>
    <row r="7" spans="1:16" x14ac:dyDescent="0.25">
      <c r="A7" s="121"/>
      <c r="B7" s="25" t="s">
        <v>24</v>
      </c>
      <c r="C7" s="26">
        <v>50</v>
      </c>
      <c r="D7" s="92">
        <v>37.488</v>
      </c>
      <c r="E7" s="92">
        <v>8.6620000000000008</v>
      </c>
      <c r="F7" s="92">
        <v>4.9700000000000001E-2</v>
      </c>
      <c r="G7" s="92">
        <v>0.97270000000000001</v>
      </c>
    </row>
    <row r="8" spans="1:16" x14ac:dyDescent="0.25">
      <c r="A8" s="121"/>
      <c r="B8" s="25" t="s">
        <v>16</v>
      </c>
      <c r="C8" s="26">
        <v>50</v>
      </c>
      <c r="D8" s="26">
        <v>64.61</v>
      </c>
      <c r="E8" s="26">
        <v>14.31</v>
      </c>
      <c r="F8" s="26">
        <v>0.127</v>
      </c>
      <c r="G8" s="26">
        <v>1.4697</v>
      </c>
    </row>
    <row r="9" spans="1:16" x14ac:dyDescent="0.25">
      <c r="A9" s="121"/>
      <c r="B9" s="220" t="s">
        <v>78</v>
      </c>
      <c r="C9" s="197">
        <v>50</v>
      </c>
      <c r="D9" s="222">
        <v>10.95</v>
      </c>
      <c r="E9" s="222">
        <v>1.405</v>
      </c>
      <c r="F9" s="222">
        <v>0.13850000000000001</v>
      </c>
      <c r="G9" s="222">
        <v>0.56999999999999995</v>
      </c>
    </row>
    <row r="10" spans="1:16" x14ac:dyDescent="0.25">
      <c r="A10" s="121"/>
      <c r="B10" s="220" t="s">
        <v>68</v>
      </c>
      <c r="C10" s="197">
        <v>50</v>
      </c>
      <c r="D10" s="222">
        <v>23.8</v>
      </c>
      <c r="E10" s="222">
        <v>4.3049999999999997</v>
      </c>
      <c r="F10" s="222">
        <v>0.158</v>
      </c>
      <c r="G10" s="222">
        <v>0.66</v>
      </c>
      <c r="H10" s="115"/>
      <c r="I10" s="115"/>
      <c r="J10" s="115"/>
      <c r="K10" s="115"/>
    </row>
    <row r="11" spans="1:16" x14ac:dyDescent="0.25">
      <c r="A11" s="121"/>
      <c r="B11" s="220" t="s">
        <v>19</v>
      </c>
      <c r="C11" s="197">
        <v>5</v>
      </c>
      <c r="D11" s="197">
        <v>35.25</v>
      </c>
      <c r="E11" s="197">
        <v>0.03</v>
      </c>
      <c r="F11" s="197">
        <v>3.9</v>
      </c>
      <c r="G11" s="197">
        <v>0.01</v>
      </c>
      <c r="H11" s="115"/>
      <c r="I11" s="115"/>
      <c r="J11" s="115"/>
      <c r="K11" s="115"/>
    </row>
    <row r="12" spans="1:16" x14ac:dyDescent="0.25">
      <c r="A12" s="121"/>
      <c r="B12" s="25" t="s">
        <v>20</v>
      </c>
      <c r="C12" s="26">
        <v>15</v>
      </c>
      <c r="D12" s="26">
        <v>91.65</v>
      </c>
      <c r="E12" s="26">
        <v>2.13</v>
      </c>
      <c r="F12" s="26">
        <v>8.0399999999999991</v>
      </c>
      <c r="G12" s="26">
        <v>3.36</v>
      </c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6" x14ac:dyDescent="0.25">
      <c r="A13" s="121"/>
      <c r="B13" s="220" t="s">
        <v>97</v>
      </c>
      <c r="C13" s="204">
        <v>100</v>
      </c>
      <c r="D13" s="197"/>
      <c r="E13" s="197"/>
      <c r="F13" s="197"/>
      <c r="G13" s="197"/>
      <c r="H13" s="115"/>
      <c r="I13" s="115"/>
      <c r="J13" s="115"/>
      <c r="K13" s="115"/>
    </row>
    <row r="14" spans="1:16" x14ac:dyDescent="0.25">
      <c r="A14" s="121"/>
      <c r="B14" s="121" t="s">
        <v>98</v>
      </c>
      <c r="C14" s="197">
        <v>50</v>
      </c>
      <c r="D14" s="197">
        <v>115</v>
      </c>
      <c r="E14" s="197">
        <v>24.6</v>
      </c>
      <c r="F14" s="197">
        <v>0.83</v>
      </c>
      <c r="G14" s="197">
        <v>3.94</v>
      </c>
      <c r="K14" s="126"/>
      <c r="L14" s="158"/>
      <c r="M14" s="158"/>
      <c r="N14" s="158"/>
      <c r="O14" s="158"/>
      <c r="P14" s="158"/>
    </row>
    <row r="15" spans="1:16" x14ac:dyDescent="0.25">
      <c r="A15" s="121"/>
      <c r="B15" s="225" t="s">
        <v>33</v>
      </c>
      <c r="C15" s="205">
        <v>100</v>
      </c>
      <c r="D15" s="205">
        <v>48.3</v>
      </c>
      <c r="E15" s="205">
        <v>10.9</v>
      </c>
      <c r="F15" s="205">
        <v>0</v>
      </c>
      <c r="G15" s="205">
        <v>0</v>
      </c>
    </row>
    <row r="16" spans="1:16" x14ac:dyDescent="0.25">
      <c r="A16" s="123"/>
      <c r="B16" s="206" t="s">
        <v>8</v>
      </c>
      <c r="C16" s="124"/>
      <c r="D16" s="125">
        <f>SUM(D4:D15)</f>
        <v>837.02799999999991</v>
      </c>
      <c r="E16" s="125">
        <f>SUM(E4:E15)</f>
        <v>123.68200000000002</v>
      </c>
      <c r="F16" s="125">
        <f>SUM(F4:F15)</f>
        <v>23.913199999999996</v>
      </c>
      <c r="G16" s="125">
        <f>SUM(G4:G15)</f>
        <v>29.432400000000005</v>
      </c>
    </row>
    <row r="17" spans="1:8" ht="15.75" customHeight="1" x14ac:dyDescent="0.25">
      <c r="A17" s="14" t="s">
        <v>79</v>
      </c>
      <c r="B17" s="12" t="s">
        <v>124</v>
      </c>
      <c r="C17" s="314">
        <v>140</v>
      </c>
      <c r="D17" s="26">
        <v>142.19999999999999</v>
      </c>
      <c r="E17" s="26">
        <v>10.365</v>
      </c>
      <c r="F17" s="26">
        <v>4.0049999999999999</v>
      </c>
      <c r="G17" s="26">
        <v>13.365</v>
      </c>
    </row>
    <row r="18" spans="1:8" s="119" customFormat="1" ht="24" customHeight="1" x14ac:dyDescent="0.25">
      <c r="A18" s="116" t="s">
        <v>9</v>
      </c>
      <c r="B18" s="117"/>
      <c r="C18" s="118" t="s">
        <v>2</v>
      </c>
      <c r="D18" s="118" t="s">
        <v>3</v>
      </c>
      <c r="E18" s="118" t="s">
        <v>4</v>
      </c>
      <c r="F18" s="118" t="s">
        <v>5</v>
      </c>
      <c r="G18" s="118" t="s">
        <v>6</v>
      </c>
    </row>
    <row r="19" spans="1:8" x14ac:dyDescent="0.25">
      <c r="A19" s="120" t="s">
        <v>7</v>
      </c>
      <c r="B19" s="220" t="s">
        <v>34</v>
      </c>
      <c r="C19" s="277">
        <v>125</v>
      </c>
      <c r="D19" s="278">
        <v>133.75</v>
      </c>
      <c r="E19" s="279">
        <v>11.45</v>
      </c>
      <c r="F19" s="279">
        <v>4.5250000000000004</v>
      </c>
      <c r="G19" s="280">
        <v>5.625</v>
      </c>
    </row>
    <row r="20" spans="1:8" x14ac:dyDescent="0.25">
      <c r="A20" s="120"/>
      <c r="B20" s="352" t="s">
        <v>153</v>
      </c>
      <c r="C20" s="353">
        <v>125</v>
      </c>
      <c r="D20" s="354">
        <v>153.035</v>
      </c>
      <c r="E20" s="354">
        <v>14.52</v>
      </c>
      <c r="F20" s="354">
        <v>8.5449999999999999</v>
      </c>
      <c r="G20" s="354">
        <v>6.43</v>
      </c>
    </row>
    <row r="21" spans="1:8" x14ac:dyDescent="0.25">
      <c r="A21" s="120"/>
      <c r="B21" s="352" t="s">
        <v>28</v>
      </c>
      <c r="C21" s="353">
        <v>10</v>
      </c>
      <c r="D21" s="354">
        <v>22.2</v>
      </c>
      <c r="E21" s="354">
        <v>0.38</v>
      </c>
      <c r="F21" s="354">
        <v>2.15</v>
      </c>
      <c r="G21" s="354">
        <v>0.33</v>
      </c>
    </row>
    <row r="22" spans="1:8" x14ac:dyDescent="0.25">
      <c r="A22" s="121"/>
      <c r="B22" s="220" t="s">
        <v>105</v>
      </c>
      <c r="C22" s="353">
        <v>160</v>
      </c>
      <c r="D22" s="354">
        <v>196.8</v>
      </c>
      <c r="E22" s="354">
        <v>24.6</v>
      </c>
      <c r="F22" s="354">
        <v>6.27</v>
      </c>
      <c r="G22" s="354">
        <v>5.8079999999999998</v>
      </c>
      <c r="H22" s="115"/>
    </row>
    <row r="23" spans="1:8" x14ac:dyDescent="0.25">
      <c r="A23" s="127"/>
      <c r="B23" s="220" t="s">
        <v>97</v>
      </c>
      <c r="C23" s="204">
        <v>100</v>
      </c>
      <c r="D23" s="356"/>
      <c r="E23" s="356"/>
      <c r="F23" s="356"/>
      <c r="G23" s="356"/>
    </row>
    <row r="24" spans="1:8" x14ac:dyDescent="0.25">
      <c r="A24" s="226"/>
      <c r="B24" s="227" t="s">
        <v>98</v>
      </c>
      <c r="C24" s="205">
        <v>50</v>
      </c>
      <c r="D24" s="205">
        <v>115</v>
      </c>
      <c r="E24" s="205">
        <v>24.6</v>
      </c>
      <c r="F24" s="205">
        <v>0.83</v>
      </c>
      <c r="G24" s="205">
        <v>3.94</v>
      </c>
    </row>
    <row r="25" spans="1:8" x14ac:dyDescent="0.25">
      <c r="A25" s="145"/>
      <c r="B25" s="220" t="s">
        <v>29</v>
      </c>
      <c r="C25" s="205">
        <v>100</v>
      </c>
      <c r="D25" s="205">
        <v>32.4</v>
      </c>
      <c r="E25" s="205">
        <v>5.6</v>
      </c>
      <c r="F25" s="205">
        <v>0.2</v>
      </c>
      <c r="G25" s="205">
        <v>0.6</v>
      </c>
    </row>
    <row r="26" spans="1:8" x14ac:dyDescent="0.25">
      <c r="A26" s="141"/>
      <c r="B26" s="35" t="s">
        <v>8</v>
      </c>
      <c r="C26" s="307"/>
      <c r="D26" s="147">
        <f>SUM(D19:D25)</f>
        <v>653.18499999999995</v>
      </c>
      <c r="E26" s="147">
        <f>SUM(E19:E25)</f>
        <v>81.150000000000006</v>
      </c>
      <c r="F26" s="147">
        <f>SUM(F19:F25)</f>
        <v>22.52</v>
      </c>
      <c r="G26" s="147">
        <f>SUM(G19:G25)</f>
        <v>22.733000000000001</v>
      </c>
    </row>
    <row r="27" spans="1:8" ht="15.75" customHeight="1" x14ac:dyDescent="0.25">
      <c r="A27" s="14" t="s">
        <v>79</v>
      </c>
      <c r="B27" s="12" t="s">
        <v>85</v>
      </c>
      <c r="C27" s="314">
        <v>250</v>
      </c>
      <c r="D27" s="262">
        <v>200.25</v>
      </c>
      <c r="E27" s="262">
        <v>27.6</v>
      </c>
      <c r="F27" s="262">
        <v>4.3</v>
      </c>
      <c r="G27" s="262">
        <v>6.6749999999999998</v>
      </c>
    </row>
    <row r="28" spans="1:8" s="119" customFormat="1" ht="24" customHeight="1" x14ac:dyDescent="0.25">
      <c r="A28" s="129" t="s">
        <v>10</v>
      </c>
      <c r="B28" s="188"/>
      <c r="C28" s="189" t="s">
        <v>2</v>
      </c>
      <c r="D28" s="189" t="s">
        <v>3</v>
      </c>
      <c r="E28" s="118" t="s">
        <v>4</v>
      </c>
      <c r="F28" s="189" t="s">
        <v>5</v>
      </c>
      <c r="G28" s="189" t="s">
        <v>6</v>
      </c>
    </row>
    <row r="29" spans="1:8" x14ac:dyDescent="0.25">
      <c r="A29" s="120" t="s">
        <v>7</v>
      </c>
      <c r="B29" s="220" t="s">
        <v>175</v>
      </c>
      <c r="C29" s="222">
        <v>70</v>
      </c>
      <c r="D29" s="222">
        <v>138</v>
      </c>
      <c r="E29" s="222">
        <v>0.3</v>
      </c>
      <c r="F29" s="222">
        <v>6</v>
      </c>
      <c r="G29" s="222">
        <v>20.7</v>
      </c>
    </row>
    <row r="30" spans="1:8" x14ac:dyDescent="0.25">
      <c r="A30" s="120"/>
      <c r="B30" s="352" t="s">
        <v>150</v>
      </c>
      <c r="C30" s="222">
        <v>50</v>
      </c>
      <c r="D30" s="222">
        <v>160</v>
      </c>
      <c r="E30" s="222">
        <v>5.16</v>
      </c>
      <c r="F30" s="222">
        <v>4.0999999999999996</v>
      </c>
      <c r="G30" s="222">
        <v>12.8</v>
      </c>
    </row>
    <row r="31" spans="1:8" x14ac:dyDescent="0.25">
      <c r="A31" s="121"/>
      <c r="B31" s="220" t="s">
        <v>106</v>
      </c>
      <c r="C31" s="197">
        <v>50</v>
      </c>
      <c r="D31" s="197">
        <v>42.3</v>
      </c>
      <c r="E31" s="197">
        <v>6.3</v>
      </c>
      <c r="F31" s="197">
        <v>1.355</v>
      </c>
      <c r="G31" s="197">
        <v>0.92500000000000004</v>
      </c>
    </row>
    <row r="32" spans="1:8" s="119" customFormat="1" x14ac:dyDescent="0.25">
      <c r="A32" s="121"/>
      <c r="B32" s="25" t="s">
        <v>35</v>
      </c>
      <c r="C32" s="26">
        <v>100</v>
      </c>
      <c r="D32" s="92">
        <v>74.98</v>
      </c>
      <c r="E32" s="92">
        <v>17.32</v>
      </c>
      <c r="F32" s="92">
        <v>0.1</v>
      </c>
      <c r="G32" s="92">
        <v>1.94</v>
      </c>
    </row>
    <row r="33" spans="1:15" s="119" customFormat="1" x14ac:dyDescent="0.25">
      <c r="A33" s="121"/>
      <c r="B33" s="352" t="s">
        <v>146</v>
      </c>
      <c r="C33" s="197">
        <v>50</v>
      </c>
      <c r="D33" s="197">
        <v>72</v>
      </c>
      <c r="E33" s="197">
        <v>11.15</v>
      </c>
      <c r="F33" s="197">
        <v>0.34</v>
      </c>
      <c r="G33" s="197">
        <v>5.0999999999999996</v>
      </c>
    </row>
    <row r="34" spans="1:15" s="119" customFormat="1" x14ac:dyDescent="0.25">
      <c r="A34" s="121"/>
      <c r="B34" s="220" t="s">
        <v>107</v>
      </c>
      <c r="C34" s="197">
        <v>50</v>
      </c>
      <c r="D34" s="197">
        <v>73.77</v>
      </c>
      <c r="E34" s="197">
        <v>5.59</v>
      </c>
      <c r="F34" s="197">
        <v>4.76</v>
      </c>
      <c r="G34" s="197">
        <v>2.21</v>
      </c>
    </row>
    <row r="35" spans="1:15" x14ac:dyDescent="0.25">
      <c r="A35" s="121"/>
      <c r="B35" s="220" t="s">
        <v>36</v>
      </c>
      <c r="C35" s="197">
        <v>50</v>
      </c>
      <c r="D35" s="222">
        <v>13.05</v>
      </c>
      <c r="E35" s="222">
        <v>2.2000000000000002</v>
      </c>
      <c r="F35" s="222">
        <v>8.3500000000000005E-2</v>
      </c>
      <c r="G35" s="222">
        <v>0.3</v>
      </c>
      <c r="H35" s="115"/>
    </row>
    <row r="36" spans="1:15" x14ac:dyDescent="0.25">
      <c r="A36" s="127"/>
      <c r="B36" s="220" t="s">
        <v>37</v>
      </c>
      <c r="C36" s="197">
        <v>50</v>
      </c>
      <c r="D36" s="222">
        <v>23.45</v>
      </c>
      <c r="E36" s="222">
        <v>2.81</v>
      </c>
      <c r="F36" s="222">
        <v>0.36</v>
      </c>
      <c r="G36" s="222">
        <v>1.23</v>
      </c>
    </row>
    <row r="37" spans="1:15" x14ac:dyDescent="0.25">
      <c r="A37" s="121"/>
      <c r="B37" s="220" t="s">
        <v>19</v>
      </c>
      <c r="C37" s="197">
        <v>5</v>
      </c>
      <c r="D37" s="197">
        <v>35.25</v>
      </c>
      <c r="E37" s="197">
        <v>0.03</v>
      </c>
      <c r="F37" s="197">
        <v>3.9</v>
      </c>
      <c r="G37" s="197">
        <v>0.01</v>
      </c>
      <c r="H37" s="115"/>
      <c r="I37" s="115"/>
      <c r="J37" s="115"/>
      <c r="K37" s="115"/>
    </row>
    <row r="38" spans="1:15" x14ac:dyDescent="0.25">
      <c r="A38" s="121"/>
      <c r="B38" s="25" t="s">
        <v>20</v>
      </c>
      <c r="C38" s="26">
        <v>15</v>
      </c>
      <c r="D38" s="26">
        <v>91.65</v>
      </c>
      <c r="E38" s="26">
        <v>2.13</v>
      </c>
      <c r="F38" s="26">
        <v>8.0399999999999991</v>
      </c>
      <c r="G38" s="26">
        <v>3.36</v>
      </c>
      <c r="H38" s="115"/>
      <c r="I38" s="115"/>
      <c r="J38" s="115"/>
      <c r="K38" s="115"/>
    </row>
    <row r="39" spans="1:15" x14ac:dyDescent="0.25">
      <c r="A39" s="120"/>
      <c r="B39" s="220" t="s">
        <v>97</v>
      </c>
      <c r="C39" s="204">
        <v>100</v>
      </c>
      <c r="D39" s="197"/>
      <c r="E39" s="197"/>
      <c r="F39" s="197"/>
      <c r="G39" s="197"/>
      <c r="J39" s="126"/>
      <c r="K39" s="158"/>
      <c r="L39" s="158"/>
      <c r="M39" s="158"/>
      <c r="N39" s="158"/>
      <c r="O39" s="158"/>
    </row>
    <row r="40" spans="1:15" x14ac:dyDescent="0.25">
      <c r="A40" s="127"/>
      <c r="B40" s="121" t="s">
        <v>98</v>
      </c>
      <c r="C40" s="204">
        <v>50</v>
      </c>
      <c r="D40" s="197">
        <v>115</v>
      </c>
      <c r="E40" s="197">
        <v>24.6</v>
      </c>
      <c r="F40" s="197">
        <v>0.83</v>
      </c>
      <c r="G40" s="197">
        <v>3.94</v>
      </c>
    </row>
    <row r="41" spans="1:15" ht="14.25" customHeight="1" x14ac:dyDescent="0.25">
      <c r="A41" s="127"/>
      <c r="B41" s="139" t="s">
        <v>27</v>
      </c>
      <c r="C41" s="137">
        <v>100</v>
      </c>
      <c r="D41" s="137">
        <v>46.4</v>
      </c>
      <c r="E41" s="137">
        <v>10.199999999999999</v>
      </c>
      <c r="F41" s="137">
        <v>0</v>
      </c>
      <c r="G41" s="137">
        <v>0.3</v>
      </c>
    </row>
    <row r="42" spans="1:15" x14ac:dyDescent="0.25">
      <c r="A42" s="128"/>
      <c r="B42" s="206" t="s">
        <v>8</v>
      </c>
      <c r="C42" s="124"/>
      <c r="D42" s="125">
        <f>SUM(D30:D41)</f>
        <v>747.85</v>
      </c>
      <c r="E42" s="125">
        <f t="shared" ref="E42:G42" si="0">SUM(E30:E41)</f>
        <v>87.490000000000009</v>
      </c>
      <c r="F42" s="125">
        <f t="shared" si="0"/>
        <v>23.868499999999997</v>
      </c>
      <c r="G42" s="125">
        <f t="shared" si="0"/>
        <v>32.115000000000002</v>
      </c>
    </row>
    <row r="43" spans="1:15" ht="15.75" customHeight="1" x14ac:dyDescent="0.25">
      <c r="A43" s="14" t="s">
        <v>79</v>
      </c>
      <c r="B43" s="12" t="s">
        <v>86</v>
      </c>
      <c r="C43" s="314">
        <v>140</v>
      </c>
      <c r="D43" s="26">
        <v>176.5</v>
      </c>
      <c r="E43" s="26">
        <v>20.8</v>
      </c>
      <c r="F43" s="26">
        <v>9.65</v>
      </c>
      <c r="G43" s="26">
        <v>6.8250000000000002</v>
      </c>
    </row>
    <row r="44" spans="1:15" s="119" customFormat="1" ht="24" customHeight="1" x14ac:dyDescent="0.25">
      <c r="A44" s="129" t="s">
        <v>11</v>
      </c>
      <c r="B44" s="117"/>
      <c r="C44" s="118" t="s">
        <v>2</v>
      </c>
      <c r="D44" s="118" t="s">
        <v>3</v>
      </c>
      <c r="E44" s="118" t="s">
        <v>4</v>
      </c>
      <c r="F44" s="118" t="s">
        <v>5</v>
      </c>
      <c r="G44" s="118" t="s">
        <v>6</v>
      </c>
    </row>
    <row r="45" spans="1:15" x14ac:dyDescent="0.25">
      <c r="A45" s="120" t="s">
        <v>7</v>
      </c>
      <c r="B45" s="228" t="s">
        <v>38</v>
      </c>
      <c r="C45" s="197">
        <v>125</v>
      </c>
      <c r="D45" s="222">
        <v>112.5</v>
      </c>
      <c r="E45" s="222">
        <v>15.925000000000001</v>
      </c>
      <c r="F45" s="222">
        <v>5.7</v>
      </c>
      <c r="G45" s="222">
        <v>4.6749999999999998</v>
      </c>
    </row>
    <row r="46" spans="1:15" x14ac:dyDescent="0.25">
      <c r="A46" s="120"/>
      <c r="B46" s="220" t="s">
        <v>95</v>
      </c>
      <c r="C46" s="197">
        <v>10</v>
      </c>
      <c r="D46" s="197">
        <v>22.2</v>
      </c>
      <c r="E46" s="197">
        <v>0.38</v>
      </c>
      <c r="F46" s="197">
        <v>2.15</v>
      </c>
      <c r="G46" s="197">
        <v>0.33</v>
      </c>
    </row>
    <row r="47" spans="1:15" x14ac:dyDescent="0.25">
      <c r="A47" s="120"/>
      <c r="B47" s="357" t="s">
        <v>148</v>
      </c>
      <c r="C47" s="197">
        <v>125</v>
      </c>
      <c r="D47" s="222">
        <v>108</v>
      </c>
      <c r="E47" s="222">
        <v>13.51</v>
      </c>
      <c r="F47" s="222">
        <v>6.48</v>
      </c>
      <c r="G47" s="222">
        <v>2.1</v>
      </c>
    </row>
    <row r="48" spans="1:15" x14ac:dyDescent="0.25">
      <c r="A48" s="120"/>
      <c r="B48" s="220" t="s">
        <v>108</v>
      </c>
      <c r="C48" s="197">
        <v>160</v>
      </c>
      <c r="D48" s="222">
        <v>268.2</v>
      </c>
      <c r="E48" s="222">
        <v>36.14</v>
      </c>
      <c r="F48" s="222">
        <v>8.02</v>
      </c>
      <c r="G48" s="222">
        <v>6.1</v>
      </c>
    </row>
    <row r="49" spans="1:12" x14ac:dyDescent="0.25">
      <c r="A49" s="120"/>
      <c r="B49" s="220" t="s">
        <v>97</v>
      </c>
      <c r="C49" s="204">
        <v>100</v>
      </c>
      <c r="D49" s="197"/>
      <c r="E49" s="197"/>
      <c r="F49" s="197"/>
      <c r="G49" s="197"/>
    </row>
    <row r="50" spans="1:12" ht="14.25" customHeight="1" x14ac:dyDescent="0.25">
      <c r="A50" s="227"/>
      <c r="B50" s="227" t="s">
        <v>98</v>
      </c>
      <c r="C50" s="205">
        <v>50</v>
      </c>
      <c r="D50" s="205">
        <v>115</v>
      </c>
      <c r="E50" s="205">
        <v>24.6</v>
      </c>
      <c r="F50" s="205">
        <v>0.83</v>
      </c>
      <c r="G50" s="205">
        <v>3.94</v>
      </c>
    </row>
    <row r="51" spans="1:12" x14ac:dyDescent="0.25">
      <c r="A51" s="139"/>
      <c r="B51" s="139" t="s">
        <v>72</v>
      </c>
      <c r="C51" s="137">
        <v>100</v>
      </c>
      <c r="D51" s="137">
        <v>24.2</v>
      </c>
      <c r="E51" s="137">
        <v>4.2</v>
      </c>
      <c r="F51" s="137">
        <v>0.2</v>
      </c>
      <c r="G51" s="137">
        <v>0.5</v>
      </c>
    </row>
    <row r="52" spans="1:12" x14ac:dyDescent="0.25">
      <c r="A52" s="146"/>
      <c r="B52" s="35" t="s">
        <v>8</v>
      </c>
      <c r="C52" s="307"/>
      <c r="D52" s="147">
        <f>SUM(D45:D51)</f>
        <v>650.1</v>
      </c>
      <c r="E52" s="147">
        <f>SUM(E45:E51)</f>
        <v>94.75500000000001</v>
      </c>
      <c r="F52" s="147">
        <f>SUM(F45:F51)</f>
        <v>23.38</v>
      </c>
      <c r="G52" s="147">
        <f>SUM(G45:G51)</f>
        <v>17.645</v>
      </c>
    </row>
    <row r="53" spans="1:12" ht="15.75" customHeight="1" x14ac:dyDescent="0.25">
      <c r="A53" s="14" t="s">
        <v>79</v>
      </c>
      <c r="B53" s="12" t="s">
        <v>87</v>
      </c>
      <c r="C53" s="314">
        <v>250</v>
      </c>
      <c r="D53" s="26">
        <v>275</v>
      </c>
      <c r="E53" s="26">
        <v>19.8</v>
      </c>
      <c r="F53" s="26">
        <v>14.725</v>
      </c>
      <c r="G53" s="26">
        <v>11.775</v>
      </c>
    </row>
    <row r="54" spans="1:12" s="119" customFormat="1" ht="24" customHeight="1" x14ac:dyDescent="0.25">
      <c r="A54" s="129" t="s">
        <v>12</v>
      </c>
      <c r="B54" s="117"/>
      <c r="C54" s="118" t="s">
        <v>2</v>
      </c>
      <c r="D54" s="118" t="s">
        <v>3</v>
      </c>
      <c r="E54" s="118" t="s">
        <v>4</v>
      </c>
      <c r="F54" s="118" t="s">
        <v>5</v>
      </c>
      <c r="G54" s="118" t="s">
        <v>6</v>
      </c>
    </row>
    <row r="55" spans="1:12" x14ac:dyDescent="0.25">
      <c r="A55" s="120" t="s">
        <v>7</v>
      </c>
      <c r="B55" s="220" t="s">
        <v>39</v>
      </c>
      <c r="C55" s="197">
        <v>125</v>
      </c>
      <c r="D55" s="222">
        <v>148.75</v>
      </c>
      <c r="E55" s="222">
        <v>24</v>
      </c>
      <c r="F55" s="222">
        <v>7.15</v>
      </c>
      <c r="G55" s="222">
        <v>5.44</v>
      </c>
    </row>
    <row r="56" spans="1:12" x14ac:dyDescent="0.25">
      <c r="A56" s="120"/>
      <c r="B56" s="352" t="s">
        <v>149</v>
      </c>
      <c r="C56" s="197">
        <v>125</v>
      </c>
      <c r="D56" s="222">
        <v>126.25</v>
      </c>
      <c r="E56" s="222">
        <v>15</v>
      </c>
      <c r="F56" s="222">
        <v>3.66</v>
      </c>
      <c r="G56" s="222">
        <v>6.8624999999999998</v>
      </c>
    </row>
    <row r="57" spans="1:12" x14ac:dyDescent="0.25">
      <c r="A57" s="120"/>
      <c r="B57" s="220" t="s">
        <v>40</v>
      </c>
      <c r="C57" s="197">
        <v>50</v>
      </c>
      <c r="D57" s="222">
        <v>19.05</v>
      </c>
      <c r="E57" s="222">
        <v>2.3199999999999998</v>
      </c>
      <c r="F57" s="222">
        <v>0.22</v>
      </c>
      <c r="G57" s="222">
        <v>1.64</v>
      </c>
    </row>
    <row r="58" spans="1:12" x14ac:dyDescent="0.25">
      <c r="A58" s="121"/>
      <c r="B58" s="220" t="s">
        <v>109</v>
      </c>
      <c r="C58" s="197">
        <v>50</v>
      </c>
      <c r="D58" s="222">
        <v>78</v>
      </c>
      <c r="E58" s="222">
        <v>5.2</v>
      </c>
      <c r="F58" s="222">
        <v>5.75</v>
      </c>
      <c r="G58" s="222">
        <v>1.39</v>
      </c>
    </row>
    <row r="59" spans="1:12" x14ac:dyDescent="0.25">
      <c r="A59" s="127"/>
      <c r="B59" s="220" t="s">
        <v>41</v>
      </c>
      <c r="C59" s="197">
        <v>50</v>
      </c>
      <c r="D59" s="197">
        <v>10.26</v>
      </c>
      <c r="E59" s="197">
        <v>1.8</v>
      </c>
      <c r="F59" s="197">
        <v>0.15</v>
      </c>
      <c r="G59" s="197">
        <v>0.68</v>
      </c>
      <c r="H59" s="115"/>
      <c r="I59" s="115"/>
      <c r="J59" s="115"/>
    </row>
    <row r="60" spans="1:12" ht="17.100000000000001" customHeight="1" x14ac:dyDescent="0.25">
      <c r="A60" s="127"/>
      <c r="B60" s="221" t="s">
        <v>167</v>
      </c>
      <c r="C60" s="197">
        <v>50</v>
      </c>
      <c r="D60" s="222">
        <v>38.450000000000003</v>
      </c>
      <c r="E60" s="222">
        <v>4.5049999999999999</v>
      </c>
      <c r="F60" s="222">
        <v>0.56499999999999995</v>
      </c>
      <c r="G60" s="222">
        <v>3.0350000000000001</v>
      </c>
    </row>
    <row r="61" spans="1:12" x14ac:dyDescent="0.25">
      <c r="A61" s="121"/>
      <c r="B61" s="220" t="s">
        <v>19</v>
      </c>
      <c r="C61" s="197">
        <v>5</v>
      </c>
      <c r="D61" s="197">
        <v>35.25</v>
      </c>
      <c r="E61" s="197">
        <v>0.03</v>
      </c>
      <c r="F61" s="197">
        <v>3.9</v>
      </c>
      <c r="G61" s="197">
        <v>0.01</v>
      </c>
      <c r="H61" s="115"/>
      <c r="I61" s="115"/>
      <c r="J61" s="115"/>
      <c r="K61" s="115"/>
    </row>
    <row r="62" spans="1:12" x14ac:dyDescent="0.25">
      <c r="A62" s="121"/>
      <c r="B62" s="25" t="s">
        <v>20</v>
      </c>
      <c r="C62" s="26">
        <v>10</v>
      </c>
      <c r="D62" s="26">
        <v>61.099899999999998</v>
      </c>
      <c r="E62" s="26">
        <v>1.4198999999999999</v>
      </c>
      <c r="F62" s="26">
        <v>5.3598999999999997</v>
      </c>
      <c r="G62" s="26">
        <v>2.2399</v>
      </c>
      <c r="H62" s="115"/>
      <c r="I62" s="115"/>
      <c r="J62" s="115"/>
      <c r="K62" s="115"/>
    </row>
    <row r="63" spans="1:12" x14ac:dyDescent="0.25">
      <c r="A63" s="121"/>
      <c r="B63" s="220" t="s">
        <v>97</v>
      </c>
      <c r="C63" s="204">
        <v>100</v>
      </c>
      <c r="D63" s="197"/>
      <c r="E63" s="197"/>
      <c r="F63" s="197"/>
      <c r="G63" s="197"/>
      <c r="H63" s="115"/>
      <c r="I63" s="115"/>
      <c r="J63" s="115"/>
      <c r="K63" s="115"/>
      <c r="L63" s="115"/>
    </row>
    <row r="64" spans="1:12" x14ac:dyDescent="0.25">
      <c r="A64" s="127"/>
      <c r="B64" s="121" t="s">
        <v>98</v>
      </c>
      <c r="C64" s="197">
        <v>50</v>
      </c>
      <c r="D64" s="197">
        <v>115</v>
      </c>
      <c r="E64" s="197">
        <v>24.6</v>
      </c>
      <c r="F64" s="197">
        <v>0.83</v>
      </c>
      <c r="G64" s="197">
        <v>3.94</v>
      </c>
    </row>
    <row r="65" spans="1:7" x14ac:dyDescent="0.25">
      <c r="A65" s="121"/>
      <c r="B65" s="220" t="s">
        <v>31</v>
      </c>
      <c r="C65" s="205">
        <v>100</v>
      </c>
      <c r="D65" s="205">
        <v>45.7</v>
      </c>
      <c r="E65" s="205">
        <v>10.01</v>
      </c>
      <c r="F65" s="205">
        <v>0.3</v>
      </c>
      <c r="G65" s="205">
        <v>0.5</v>
      </c>
    </row>
    <row r="66" spans="1:7" x14ac:dyDescent="0.25">
      <c r="A66" s="306"/>
      <c r="B66" s="295" t="s">
        <v>8</v>
      </c>
      <c r="C66" s="307"/>
      <c r="D66" s="147">
        <f>SUM(D55:D65)</f>
        <v>677.80990000000008</v>
      </c>
      <c r="E66" s="147">
        <f>SUM(E55:E65)</f>
        <v>88.884900000000002</v>
      </c>
      <c r="F66" s="147">
        <f>SUM(F55:F65)</f>
        <v>27.884899999999998</v>
      </c>
      <c r="G66" s="147">
        <f>SUM(G55:G65)</f>
        <v>25.737400000000004</v>
      </c>
    </row>
    <row r="67" spans="1:7" ht="17.25" customHeight="1" x14ac:dyDescent="0.25">
      <c r="A67" s="87" t="s">
        <v>79</v>
      </c>
      <c r="B67" s="308" t="s">
        <v>140</v>
      </c>
      <c r="C67" s="313">
        <v>250</v>
      </c>
      <c r="D67" s="262">
        <f>0.71*313.25</f>
        <v>222.4075</v>
      </c>
      <c r="E67" s="262">
        <f>0.71*35</f>
        <v>24.849999999999998</v>
      </c>
      <c r="F67" s="262">
        <f>0.71*11.9</f>
        <v>8.4489999999999998</v>
      </c>
      <c r="G67" s="262">
        <f>0.71*14.175</f>
        <v>10.064249999999999</v>
      </c>
    </row>
    <row r="68" spans="1:7" x14ac:dyDescent="0.25">
      <c r="B68" s="131" t="s">
        <v>13</v>
      </c>
      <c r="D68" s="148">
        <f>AVERAGE(D16,D26,D42,D52,D66)</f>
        <v>713.19457999999997</v>
      </c>
      <c r="E68" s="148">
        <f>AVERAGE(E16,E26,E42,E52,E66)</f>
        <v>95.19238</v>
      </c>
      <c r="F68" s="148">
        <f>AVERAGE(F16,F26,F42,F52,F66)</f>
        <v>24.313319999999997</v>
      </c>
      <c r="G68" s="148">
        <f>AVERAGE(G16,G26,G42,G52,G66)</f>
        <v>25.532560000000004</v>
      </c>
    </row>
    <row r="69" spans="1:7" x14ac:dyDescent="0.25">
      <c r="A69" s="303" t="s">
        <v>84</v>
      </c>
      <c r="B69" s="304"/>
    </row>
    <row r="70" spans="1:7" x14ac:dyDescent="0.25">
      <c r="A70" s="113" t="s">
        <v>14</v>
      </c>
      <c r="C70" s="115" t="s">
        <v>15</v>
      </c>
      <c r="D70" s="132"/>
      <c r="E70" s="132"/>
      <c r="F70" s="132"/>
      <c r="G70" s="119"/>
    </row>
  </sheetData>
  <phoneticPr fontId="6" type="noConversion"/>
  <pageMargins left="0.7" right="0.7" top="0.75" bottom="0.75" header="0.3" footer="0.3"/>
  <pageSetup paperSize="9" scale="5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71"/>
  <sheetViews>
    <sheetView topLeftCell="A13" zoomScale="112" zoomScaleNormal="112" workbookViewId="0">
      <selection activeCell="B30" sqref="B30"/>
    </sheetView>
  </sheetViews>
  <sheetFormatPr defaultColWidth="9.28515625" defaultRowHeight="15.75" x14ac:dyDescent="0.25"/>
  <cols>
    <col min="1" max="1" width="26" style="113" customWidth="1"/>
    <col min="2" max="2" width="52" style="113" customWidth="1"/>
    <col min="3" max="3" width="11.7109375" style="113" customWidth="1"/>
    <col min="4" max="4" width="13.42578125" style="113" bestFit="1" customWidth="1"/>
    <col min="5" max="5" width="14.7109375" style="113" bestFit="1" customWidth="1"/>
    <col min="6" max="6" width="10.28515625" style="113" bestFit="1" customWidth="1"/>
    <col min="7" max="7" width="10" style="113" bestFit="1" customWidth="1"/>
    <col min="8" max="16384" width="9.28515625" style="113"/>
  </cols>
  <sheetData>
    <row r="1" spans="1:7" x14ac:dyDescent="0.25">
      <c r="B1" s="114"/>
    </row>
    <row r="2" spans="1:7" ht="46.5" customHeight="1" x14ac:dyDescent="0.35">
      <c r="A2" s="133" t="s">
        <v>42</v>
      </c>
      <c r="B2" s="134"/>
      <c r="C2" s="10" t="s">
        <v>66</v>
      </c>
      <c r="D2" s="11"/>
    </row>
    <row r="3" spans="1:7" s="119" customFormat="1" ht="24" customHeight="1" x14ac:dyDescent="0.25">
      <c r="A3" s="129" t="s">
        <v>1</v>
      </c>
      <c r="B3" s="249"/>
      <c r="C3" s="250" t="s">
        <v>2</v>
      </c>
      <c r="D3" s="250" t="s">
        <v>3</v>
      </c>
      <c r="E3" s="250" t="s">
        <v>4</v>
      </c>
      <c r="F3" s="250" t="s">
        <v>5</v>
      </c>
      <c r="G3" s="250" t="s">
        <v>6</v>
      </c>
    </row>
    <row r="4" spans="1:7" x14ac:dyDescent="0.25">
      <c r="A4" s="229" t="s">
        <v>7</v>
      </c>
      <c r="B4" s="220" t="s">
        <v>110</v>
      </c>
      <c r="C4" s="197">
        <v>70</v>
      </c>
      <c r="D4" s="222">
        <v>100.1</v>
      </c>
      <c r="E4" s="222">
        <v>9.06</v>
      </c>
      <c r="F4" s="222">
        <v>5.04</v>
      </c>
      <c r="G4" s="222">
        <v>8.9499999999999993</v>
      </c>
    </row>
    <row r="5" spans="1:7" x14ac:dyDescent="0.25">
      <c r="A5" s="281"/>
      <c r="B5" s="352" t="s">
        <v>152</v>
      </c>
      <c r="C5" s="197">
        <v>70</v>
      </c>
      <c r="D5" s="222">
        <v>83.5</v>
      </c>
      <c r="E5" s="222">
        <v>4.54</v>
      </c>
      <c r="F5" s="222">
        <v>5.375</v>
      </c>
      <c r="G5" s="222">
        <v>4.8650000000000002</v>
      </c>
    </row>
    <row r="6" spans="1:7" x14ac:dyDescent="0.25">
      <c r="A6" s="121"/>
      <c r="B6" s="25" t="s">
        <v>16</v>
      </c>
      <c r="C6" s="26">
        <v>50</v>
      </c>
      <c r="D6" s="26">
        <v>64.61</v>
      </c>
      <c r="E6" s="26">
        <v>14.31</v>
      </c>
      <c r="F6" s="26">
        <v>0.127</v>
      </c>
      <c r="G6" s="26">
        <v>1.4697</v>
      </c>
    </row>
    <row r="7" spans="1:7" x14ac:dyDescent="0.25">
      <c r="A7" s="121"/>
      <c r="B7" s="25" t="s">
        <v>93</v>
      </c>
      <c r="C7" s="26">
        <v>100</v>
      </c>
      <c r="D7" s="26">
        <v>178.92</v>
      </c>
      <c r="E7" s="26">
        <v>34.1</v>
      </c>
      <c r="F7" s="26">
        <v>1.4</v>
      </c>
      <c r="G7" s="26">
        <v>6.6</v>
      </c>
    </row>
    <row r="8" spans="1:7" x14ac:dyDescent="0.25">
      <c r="A8" s="121"/>
      <c r="B8" s="352" t="s">
        <v>156</v>
      </c>
      <c r="C8" s="197">
        <v>50</v>
      </c>
      <c r="D8" s="197">
        <v>61</v>
      </c>
      <c r="E8" s="197">
        <v>11.75</v>
      </c>
      <c r="F8" s="197">
        <v>0.39550000000000002</v>
      </c>
      <c r="G8" s="197">
        <v>2.0299999999999998</v>
      </c>
    </row>
    <row r="9" spans="1:7" x14ac:dyDescent="0.25">
      <c r="A9" s="127"/>
      <c r="B9" s="220" t="s">
        <v>43</v>
      </c>
      <c r="C9" s="197">
        <v>50</v>
      </c>
      <c r="D9" s="197">
        <v>9.68</v>
      </c>
      <c r="E9" s="197">
        <v>2.0099999999999998</v>
      </c>
      <c r="F9" s="197">
        <v>0.09</v>
      </c>
      <c r="G9" s="197">
        <v>0.55000000000000004</v>
      </c>
    </row>
    <row r="10" spans="1:7" x14ac:dyDescent="0.25">
      <c r="A10" s="121"/>
      <c r="B10" s="220" t="s">
        <v>44</v>
      </c>
      <c r="C10" s="197">
        <v>50</v>
      </c>
      <c r="D10" s="197">
        <v>42.67</v>
      </c>
      <c r="E10" s="197">
        <v>9.18</v>
      </c>
      <c r="F10" s="197">
        <v>0.35</v>
      </c>
      <c r="G10" s="197">
        <v>2.68</v>
      </c>
    </row>
    <row r="11" spans="1:7" x14ac:dyDescent="0.25">
      <c r="A11" s="121"/>
      <c r="B11" s="220" t="s">
        <v>19</v>
      </c>
      <c r="C11" s="197">
        <v>5</v>
      </c>
      <c r="D11" s="197">
        <v>35.25</v>
      </c>
      <c r="E11" s="197">
        <v>0.03</v>
      </c>
      <c r="F11" s="197">
        <v>3.9</v>
      </c>
      <c r="G11" s="197">
        <v>0.01</v>
      </c>
    </row>
    <row r="12" spans="1:7" x14ac:dyDescent="0.25">
      <c r="A12" s="121"/>
      <c r="B12" s="25" t="s">
        <v>20</v>
      </c>
      <c r="C12" s="26">
        <v>15</v>
      </c>
      <c r="D12" s="26">
        <v>91.65</v>
      </c>
      <c r="E12" s="26">
        <v>2.13</v>
      </c>
      <c r="F12" s="26">
        <v>8.0399999999999991</v>
      </c>
      <c r="G12" s="26">
        <v>3.36</v>
      </c>
    </row>
    <row r="13" spans="1:7" x14ac:dyDescent="0.25">
      <c r="A13" s="121"/>
      <c r="B13" s="220" t="s">
        <v>97</v>
      </c>
      <c r="C13" s="204">
        <v>100</v>
      </c>
      <c r="D13" s="197"/>
      <c r="E13" s="197"/>
      <c r="F13" s="197"/>
      <c r="G13" s="197"/>
    </row>
    <row r="14" spans="1:7" x14ac:dyDescent="0.25">
      <c r="A14" s="121"/>
      <c r="B14" s="227" t="s">
        <v>98</v>
      </c>
      <c r="C14" s="205">
        <v>50</v>
      </c>
      <c r="D14" s="205">
        <v>115</v>
      </c>
      <c r="E14" s="205">
        <v>24.6</v>
      </c>
      <c r="F14" s="205">
        <v>0.83</v>
      </c>
      <c r="G14" s="205">
        <v>3.94</v>
      </c>
    </row>
    <row r="15" spans="1:7" x14ac:dyDescent="0.25">
      <c r="A15" s="138"/>
      <c r="B15" s="139" t="s">
        <v>22</v>
      </c>
      <c r="C15" s="137">
        <v>100</v>
      </c>
      <c r="D15" s="137">
        <v>48.3</v>
      </c>
      <c r="E15" s="137">
        <v>10.9</v>
      </c>
      <c r="F15" s="137">
        <v>0</v>
      </c>
      <c r="G15" s="137">
        <v>0</v>
      </c>
    </row>
    <row r="16" spans="1:7" x14ac:dyDescent="0.25">
      <c r="A16" s="140"/>
      <c r="B16" s="35" t="s">
        <v>8</v>
      </c>
      <c r="C16" s="307"/>
      <c r="D16" s="147">
        <f>SUM(D4:D15)</f>
        <v>830.68</v>
      </c>
      <c r="E16" s="147">
        <f>SUM(E4:E15)</f>
        <v>122.61000000000001</v>
      </c>
      <c r="F16" s="147">
        <f>SUM(F4:F15)</f>
        <v>25.547499999999996</v>
      </c>
      <c r="G16" s="147">
        <f>SUM(G4:G15)</f>
        <v>34.454700000000003</v>
      </c>
    </row>
    <row r="17" spans="1:7" x14ac:dyDescent="0.25">
      <c r="A17" s="14" t="s">
        <v>79</v>
      </c>
      <c r="B17" s="12" t="s">
        <v>111</v>
      </c>
      <c r="C17" s="314">
        <v>140</v>
      </c>
      <c r="D17" s="262">
        <v>174.78</v>
      </c>
      <c r="E17" s="262">
        <v>15.59</v>
      </c>
      <c r="F17" s="262">
        <v>9.5399999999999991</v>
      </c>
      <c r="G17" s="262">
        <v>7.69</v>
      </c>
    </row>
    <row r="18" spans="1:7" s="119" customFormat="1" ht="24" customHeight="1" x14ac:dyDescent="0.25">
      <c r="A18" s="129" t="s">
        <v>9</v>
      </c>
      <c r="B18" s="249"/>
      <c r="C18" s="250" t="s">
        <v>2</v>
      </c>
      <c r="D18" s="250" t="s">
        <v>3</v>
      </c>
      <c r="E18" s="250" t="s">
        <v>4</v>
      </c>
      <c r="F18" s="250" t="s">
        <v>5</v>
      </c>
      <c r="G18" s="250" t="s">
        <v>6</v>
      </c>
    </row>
    <row r="19" spans="1:7" x14ac:dyDescent="0.25">
      <c r="A19" s="229" t="s">
        <v>7</v>
      </c>
      <c r="B19" s="218" t="s">
        <v>112</v>
      </c>
      <c r="C19" s="197">
        <v>125</v>
      </c>
      <c r="D19" s="222">
        <v>141.25</v>
      </c>
      <c r="E19" s="222">
        <v>15.75</v>
      </c>
      <c r="F19" s="222">
        <v>6.0650000000000004</v>
      </c>
      <c r="G19" s="222">
        <v>5.375</v>
      </c>
    </row>
    <row r="20" spans="1:7" x14ac:dyDescent="0.25">
      <c r="A20" s="281"/>
      <c r="B20" s="358" t="s">
        <v>154</v>
      </c>
      <c r="C20" s="197">
        <v>125</v>
      </c>
      <c r="D20" s="222">
        <v>135.24</v>
      </c>
      <c r="E20" s="222">
        <v>13.715</v>
      </c>
      <c r="F20" s="222">
        <v>6.96</v>
      </c>
      <c r="G20" s="222">
        <v>6.18</v>
      </c>
    </row>
    <row r="21" spans="1:7" x14ac:dyDescent="0.25">
      <c r="A21" s="281"/>
      <c r="B21" s="220" t="s">
        <v>95</v>
      </c>
      <c r="C21" s="197">
        <v>10</v>
      </c>
      <c r="D21" s="197">
        <v>22.2</v>
      </c>
      <c r="E21" s="197">
        <v>0.38</v>
      </c>
      <c r="F21" s="197">
        <v>2.15</v>
      </c>
      <c r="G21" s="197">
        <v>0.33</v>
      </c>
    </row>
    <row r="22" spans="1:7" x14ac:dyDescent="0.25">
      <c r="A22" s="229"/>
      <c r="B22" s="220" t="s">
        <v>113</v>
      </c>
      <c r="C22" s="197">
        <v>160</v>
      </c>
      <c r="D22" s="222">
        <v>172.2</v>
      </c>
      <c r="E22" s="222">
        <v>20.8</v>
      </c>
      <c r="F22" s="222">
        <v>5.4560000000000004</v>
      </c>
      <c r="G22" s="222">
        <v>6.15</v>
      </c>
    </row>
    <row r="23" spans="1:7" x14ac:dyDescent="0.25">
      <c r="A23" s="229"/>
      <c r="B23" s="220" t="s">
        <v>97</v>
      </c>
      <c r="C23" s="204">
        <v>100</v>
      </c>
      <c r="D23" s="197"/>
      <c r="E23" s="197"/>
      <c r="F23" s="197"/>
      <c r="G23" s="197"/>
    </row>
    <row r="24" spans="1:7" x14ac:dyDescent="0.25">
      <c r="A24" s="230"/>
      <c r="B24" s="227" t="s">
        <v>98</v>
      </c>
      <c r="C24" s="205">
        <v>50</v>
      </c>
      <c r="D24" s="205">
        <v>115</v>
      </c>
      <c r="E24" s="205">
        <v>24.6</v>
      </c>
      <c r="F24" s="205">
        <v>0.83</v>
      </c>
      <c r="G24" s="205">
        <v>3.94</v>
      </c>
    </row>
    <row r="25" spans="1:7" x14ac:dyDescent="0.25">
      <c r="A25" s="139"/>
      <c r="B25" s="139" t="s">
        <v>45</v>
      </c>
      <c r="C25" s="137">
        <v>100</v>
      </c>
      <c r="D25" s="137">
        <v>35.6</v>
      </c>
      <c r="E25" s="137">
        <v>6.22</v>
      </c>
      <c r="F25" s="137">
        <v>0.1</v>
      </c>
      <c r="G25" s="137">
        <v>1.1000000000000001</v>
      </c>
    </row>
    <row r="26" spans="1:7" x14ac:dyDescent="0.25">
      <c r="A26" s="141"/>
      <c r="B26" s="35" t="s">
        <v>8</v>
      </c>
      <c r="C26" s="307"/>
      <c r="D26" s="147">
        <f>SUM(D19:D25)</f>
        <v>621.49</v>
      </c>
      <c r="E26" s="147">
        <f>SUM(E19:E25)</f>
        <v>81.465000000000003</v>
      </c>
      <c r="F26" s="147">
        <f>SUM(F19:F25)</f>
        <v>21.561</v>
      </c>
      <c r="G26" s="147">
        <f>SUM(G19:G25)</f>
        <v>23.075000000000003</v>
      </c>
    </row>
    <row r="27" spans="1:7" x14ac:dyDescent="0.25">
      <c r="A27" s="14" t="s">
        <v>79</v>
      </c>
      <c r="B27" s="12" t="s">
        <v>114</v>
      </c>
      <c r="C27" s="314">
        <v>250</v>
      </c>
      <c r="D27" s="274">
        <v>198.26</v>
      </c>
      <c r="E27" s="274">
        <v>28.5</v>
      </c>
      <c r="F27" s="274">
        <v>9.98</v>
      </c>
      <c r="G27" s="274">
        <v>3.6</v>
      </c>
    </row>
    <row r="28" spans="1:7" s="119" customFormat="1" ht="24" customHeight="1" x14ac:dyDescent="0.25">
      <c r="A28" s="129" t="s">
        <v>10</v>
      </c>
      <c r="B28" s="249"/>
      <c r="C28" s="250" t="s">
        <v>2</v>
      </c>
      <c r="D28" s="250" t="s">
        <v>3</v>
      </c>
      <c r="E28" s="250" t="s">
        <v>4</v>
      </c>
      <c r="F28" s="250" t="s">
        <v>5</v>
      </c>
      <c r="G28" s="250" t="s">
        <v>6</v>
      </c>
    </row>
    <row r="29" spans="1:7" ht="17.25" customHeight="1" x14ac:dyDescent="0.25">
      <c r="A29" s="229" t="s">
        <v>7</v>
      </c>
      <c r="B29" s="220" t="s">
        <v>177</v>
      </c>
      <c r="C29" s="203">
        <v>50</v>
      </c>
      <c r="D29" s="202">
        <v>49.65</v>
      </c>
      <c r="E29" s="202">
        <v>1.9750000000000001</v>
      </c>
      <c r="F29" s="202">
        <v>1.01</v>
      </c>
      <c r="G29" s="202">
        <v>8</v>
      </c>
    </row>
    <row r="30" spans="1:7" ht="17.25" customHeight="1" x14ac:dyDescent="0.25">
      <c r="A30" s="281"/>
      <c r="B30" s="352" t="s">
        <v>178</v>
      </c>
      <c r="C30" s="203">
        <v>50</v>
      </c>
      <c r="D30" s="92">
        <v>119</v>
      </c>
      <c r="E30" s="92">
        <v>0.2</v>
      </c>
      <c r="F30" s="92">
        <v>7.3</v>
      </c>
      <c r="G30" s="92">
        <v>13.3</v>
      </c>
    </row>
    <row r="31" spans="1:7" x14ac:dyDescent="0.25">
      <c r="A31" s="121"/>
      <c r="B31" s="25" t="s">
        <v>100</v>
      </c>
      <c r="C31" s="26">
        <v>50</v>
      </c>
      <c r="D31" s="92">
        <v>44.927999999999997</v>
      </c>
      <c r="E31" s="92">
        <v>7.2065000000000001</v>
      </c>
      <c r="F31" s="92">
        <v>1.1786000000000001</v>
      </c>
      <c r="G31" s="92">
        <v>1.1715</v>
      </c>
    </row>
    <row r="32" spans="1:7" s="119" customFormat="1" x14ac:dyDescent="0.25">
      <c r="A32" s="121"/>
      <c r="B32" s="25" t="s">
        <v>158</v>
      </c>
      <c r="C32" s="26">
        <v>50</v>
      </c>
      <c r="D32" s="92">
        <v>25.7</v>
      </c>
      <c r="E32" s="92">
        <v>3.23</v>
      </c>
      <c r="F32" s="92">
        <v>0.89500000000000002</v>
      </c>
      <c r="G32" s="92">
        <v>0.34599999999999997</v>
      </c>
    </row>
    <row r="33" spans="1:7" s="119" customFormat="1" x14ac:dyDescent="0.25">
      <c r="A33" s="121"/>
      <c r="B33" s="352" t="s">
        <v>168</v>
      </c>
      <c r="C33" s="197">
        <v>70</v>
      </c>
      <c r="D33" s="197">
        <v>84.83</v>
      </c>
      <c r="E33" s="197">
        <v>17.55</v>
      </c>
      <c r="F33" s="197">
        <v>0.51</v>
      </c>
      <c r="G33" s="197">
        <v>2.89</v>
      </c>
    </row>
    <row r="34" spans="1:7" x14ac:dyDescent="0.25">
      <c r="A34" s="121"/>
      <c r="B34" s="220" t="s">
        <v>46</v>
      </c>
      <c r="C34" s="197">
        <v>50</v>
      </c>
      <c r="D34" s="197">
        <v>27.5</v>
      </c>
      <c r="E34" s="197">
        <v>4.88</v>
      </c>
      <c r="F34" s="197">
        <v>1.03</v>
      </c>
      <c r="G34" s="197">
        <v>0.41</v>
      </c>
    </row>
    <row r="35" spans="1:7" x14ac:dyDescent="0.25">
      <c r="A35" s="127"/>
      <c r="B35" s="220" t="s">
        <v>69</v>
      </c>
      <c r="C35" s="197">
        <v>50</v>
      </c>
      <c r="D35" s="197">
        <v>67.010000000000005</v>
      </c>
      <c r="E35" s="197">
        <v>13.49</v>
      </c>
      <c r="F35" s="197">
        <v>0.34</v>
      </c>
      <c r="G35" s="197">
        <v>3.89</v>
      </c>
    </row>
    <row r="36" spans="1:7" x14ac:dyDescent="0.25">
      <c r="A36" s="127"/>
      <c r="B36" s="220" t="s">
        <v>19</v>
      </c>
      <c r="C36" s="197">
        <v>5</v>
      </c>
      <c r="D36" s="197">
        <v>35.25</v>
      </c>
      <c r="E36" s="197">
        <v>0.03</v>
      </c>
      <c r="F36" s="197">
        <v>3.9</v>
      </c>
      <c r="G36" s="197">
        <v>0.01</v>
      </c>
    </row>
    <row r="37" spans="1:7" x14ac:dyDescent="0.25">
      <c r="A37" s="127"/>
      <c r="B37" s="25" t="s">
        <v>20</v>
      </c>
      <c r="C37" s="26">
        <v>15</v>
      </c>
      <c r="D37" s="26">
        <v>91.65</v>
      </c>
      <c r="E37" s="26">
        <v>2.13</v>
      </c>
      <c r="F37" s="26">
        <v>8.0399999999999991</v>
      </c>
      <c r="G37" s="26">
        <v>3.36</v>
      </c>
    </row>
    <row r="38" spans="1:7" x14ac:dyDescent="0.25">
      <c r="A38" s="127"/>
      <c r="B38" s="220" t="s">
        <v>97</v>
      </c>
      <c r="C38" s="204">
        <v>100</v>
      </c>
      <c r="D38" s="197"/>
      <c r="E38" s="197"/>
      <c r="F38" s="197"/>
      <c r="G38" s="197"/>
    </row>
    <row r="39" spans="1:7" x14ac:dyDescent="0.25">
      <c r="A39" s="230"/>
      <c r="B39" s="227" t="s">
        <v>98</v>
      </c>
      <c r="C39" s="205">
        <v>50</v>
      </c>
      <c r="D39" s="205">
        <v>115</v>
      </c>
      <c r="E39" s="205">
        <v>24.6</v>
      </c>
      <c r="F39" s="205">
        <v>0.83</v>
      </c>
      <c r="G39" s="205">
        <v>3.94</v>
      </c>
    </row>
    <row r="40" spans="1:7" x14ac:dyDescent="0.25">
      <c r="A40" s="139"/>
      <c r="B40" s="139" t="s">
        <v>47</v>
      </c>
      <c r="C40" s="137">
        <v>100</v>
      </c>
      <c r="D40" s="137">
        <v>45.7</v>
      </c>
      <c r="E40" s="137">
        <v>10.01</v>
      </c>
      <c r="F40" s="137">
        <v>0.3</v>
      </c>
      <c r="G40" s="137">
        <v>0.5</v>
      </c>
    </row>
    <row r="41" spans="1:7" x14ac:dyDescent="0.25">
      <c r="A41" s="141"/>
      <c r="B41" s="35" t="s">
        <v>8</v>
      </c>
      <c r="C41" s="307"/>
      <c r="D41" s="147">
        <f>SUM(D30:D40)</f>
        <v>656.56799999999998</v>
      </c>
      <c r="E41" s="147">
        <f t="shared" ref="E41:G41" si="0">SUM(E30:E40)</f>
        <v>83.326500000000024</v>
      </c>
      <c r="F41" s="147">
        <f t="shared" si="0"/>
        <v>24.323599999999995</v>
      </c>
      <c r="G41" s="147">
        <f t="shared" si="0"/>
        <v>29.817500000000003</v>
      </c>
    </row>
    <row r="42" spans="1:7" x14ac:dyDescent="0.25">
      <c r="A42" s="336" t="s">
        <v>79</v>
      </c>
      <c r="B42" s="113" t="s">
        <v>155</v>
      </c>
      <c r="C42" s="314">
        <v>50</v>
      </c>
      <c r="D42" s="338">
        <v>121</v>
      </c>
      <c r="E42" s="338">
        <v>9.24</v>
      </c>
      <c r="F42" s="338">
        <v>7.08</v>
      </c>
      <c r="G42" s="338">
        <v>4.43</v>
      </c>
    </row>
    <row r="43" spans="1:7" s="119" customFormat="1" ht="24" customHeight="1" x14ac:dyDescent="0.25">
      <c r="A43" s="129" t="s">
        <v>11</v>
      </c>
      <c r="B43" s="249"/>
      <c r="C43" s="250" t="s">
        <v>2</v>
      </c>
      <c r="D43" s="250" t="s">
        <v>3</v>
      </c>
      <c r="E43" s="250" t="s">
        <v>4</v>
      </c>
      <c r="F43" s="250" t="s">
        <v>5</v>
      </c>
      <c r="G43" s="250" t="s">
        <v>6</v>
      </c>
    </row>
    <row r="44" spans="1:7" s="119" customFormat="1" x14ac:dyDescent="0.25">
      <c r="A44" s="229" t="s">
        <v>7</v>
      </c>
      <c r="B44" s="360" t="s">
        <v>75</v>
      </c>
      <c r="C44" s="197">
        <v>125</v>
      </c>
      <c r="D44" s="222">
        <v>136.25</v>
      </c>
      <c r="E44" s="222">
        <v>9.2249999999999996</v>
      </c>
      <c r="F44" s="222">
        <v>6.55</v>
      </c>
      <c r="G44" s="222">
        <v>7.1150000000000002</v>
      </c>
    </row>
    <row r="45" spans="1:7" s="119" customFormat="1" x14ac:dyDescent="0.25">
      <c r="A45" s="120"/>
      <c r="B45" s="136" t="s">
        <v>169</v>
      </c>
      <c r="C45" s="359">
        <v>125</v>
      </c>
      <c r="D45" s="222">
        <v>87.525000000000006</v>
      </c>
      <c r="E45" s="222">
        <v>9.2349999999999994</v>
      </c>
      <c r="F45" s="222">
        <v>4.24</v>
      </c>
      <c r="G45" s="222">
        <v>3.76</v>
      </c>
    </row>
    <row r="46" spans="1:7" s="119" customFormat="1" x14ac:dyDescent="0.25">
      <c r="A46" s="281"/>
      <c r="B46" s="136" t="s">
        <v>95</v>
      </c>
      <c r="C46" s="359">
        <v>10</v>
      </c>
      <c r="D46" s="197">
        <v>22.2</v>
      </c>
      <c r="E46" s="197">
        <v>0.38</v>
      </c>
      <c r="F46" s="197">
        <v>2.15</v>
      </c>
      <c r="G46" s="197">
        <v>0.33</v>
      </c>
    </row>
    <row r="47" spans="1:7" x14ac:dyDescent="0.25">
      <c r="A47" s="127"/>
      <c r="B47" s="154" t="s">
        <v>48</v>
      </c>
      <c r="C47" s="155">
        <v>160</v>
      </c>
      <c r="D47" s="282">
        <v>136</v>
      </c>
      <c r="E47" s="282">
        <v>29.12</v>
      </c>
      <c r="F47" s="282">
        <v>0.44600000000000001</v>
      </c>
      <c r="G47" s="282">
        <v>2.56</v>
      </c>
    </row>
    <row r="48" spans="1:7" x14ac:dyDescent="0.25">
      <c r="A48" s="121"/>
      <c r="B48" s="220" t="s">
        <v>97</v>
      </c>
      <c r="C48" s="204">
        <v>100</v>
      </c>
      <c r="D48" s="197"/>
      <c r="E48" s="197"/>
      <c r="F48" s="197"/>
      <c r="G48" s="197"/>
    </row>
    <row r="49" spans="1:15" x14ac:dyDescent="0.25">
      <c r="A49" s="121"/>
      <c r="B49" s="227" t="s">
        <v>21</v>
      </c>
      <c r="C49" s="205">
        <v>50</v>
      </c>
      <c r="D49" s="205">
        <v>115</v>
      </c>
      <c r="E49" s="205">
        <v>24.6</v>
      </c>
      <c r="F49" s="205">
        <v>0.83</v>
      </c>
      <c r="G49" s="205">
        <v>3.94</v>
      </c>
      <c r="J49" s="159"/>
      <c r="K49" s="158"/>
      <c r="L49" s="158"/>
      <c r="M49" s="158"/>
      <c r="N49" s="158"/>
      <c r="O49" s="158"/>
    </row>
    <row r="50" spans="1:15" x14ac:dyDescent="0.25">
      <c r="A50" s="143"/>
      <c r="B50" s="142" t="s">
        <v>49</v>
      </c>
      <c r="C50" s="137">
        <v>100</v>
      </c>
      <c r="D50" s="137">
        <v>32.4</v>
      </c>
      <c r="E50" s="137">
        <v>5.6</v>
      </c>
      <c r="F50" s="137">
        <v>0.2</v>
      </c>
      <c r="G50" s="137">
        <v>0.6</v>
      </c>
    </row>
    <row r="51" spans="1:15" x14ac:dyDescent="0.25">
      <c r="A51" s="144"/>
      <c r="B51" s="35" t="s">
        <v>8</v>
      </c>
      <c r="C51" s="307"/>
      <c r="D51" s="147">
        <f>SUM(D44:D50)</f>
        <v>529.375</v>
      </c>
      <c r="E51" s="147">
        <f>SUM(E44:E50)</f>
        <v>78.16</v>
      </c>
      <c r="F51" s="147">
        <f>SUM(F44:F50)</f>
        <v>14.415999999999999</v>
      </c>
      <c r="G51" s="147">
        <f>SUM(G44:G50)</f>
        <v>18.305000000000003</v>
      </c>
    </row>
    <row r="52" spans="1:15" x14ac:dyDescent="0.25">
      <c r="A52" s="14" t="s">
        <v>79</v>
      </c>
      <c r="B52" s="12" t="s">
        <v>64</v>
      </c>
      <c r="C52" s="314">
        <v>250</v>
      </c>
      <c r="D52" s="260">
        <v>154.25</v>
      </c>
      <c r="E52" s="260">
        <v>6.38</v>
      </c>
      <c r="F52" s="260">
        <v>6.73</v>
      </c>
      <c r="G52" s="260">
        <v>10.65</v>
      </c>
    </row>
    <row r="53" spans="1:15" s="119" customFormat="1" ht="24" customHeight="1" x14ac:dyDescent="0.25">
      <c r="A53" s="129" t="s">
        <v>12</v>
      </c>
      <c r="B53" s="249"/>
      <c r="C53" s="250" t="s">
        <v>2</v>
      </c>
      <c r="D53" s="250" t="s">
        <v>3</v>
      </c>
      <c r="E53" s="250" t="s">
        <v>4</v>
      </c>
      <c r="F53" s="250" t="s">
        <v>5</v>
      </c>
      <c r="G53" s="250" t="s">
        <v>6</v>
      </c>
    </row>
    <row r="54" spans="1:15" x14ac:dyDescent="0.25">
      <c r="A54" s="229" t="s">
        <v>7</v>
      </c>
      <c r="B54" s="220" t="s">
        <v>50</v>
      </c>
      <c r="C54" s="222">
        <v>70</v>
      </c>
      <c r="D54" s="222">
        <v>65.33</v>
      </c>
      <c r="E54" s="222">
        <v>10.84</v>
      </c>
      <c r="F54" s="222">
        <v>8.0749999999999993</v>
      </c>
      <c r="G54" s="222">
        <v>4.41</v>
      </c>
    </row>
    <row r="55" spans="1:15" x14ac:dyDescent="0.25">
      <c r="A55" s="120"/>
      <c r="B55" s="352" t="s">
        <v>173</v>
      </c>
      <c r="C55" s="222">
        <v>70</v>
      </c>
      <c r="D55" s="222">
        <v>117.76</v>
      </c>
      <c r="E55" s="222">
        <v>5.88</v>
      </c>
      <c r="F55" s="222">
        <v>8.4499999999999993</v>
      </c>
      <c r="G55" s="222">
        <v>4.9249999999999998</v>
      </c>
    </row>
    <row r="56" spans="1:15" x14ac:dyDescent="0.25">
      <c r="A56" s="121"/>
      <c r="B56" s="352" t="s">
        <v>51</v>
      </c>
      <c r="C56" s="197">
        <v>50</v>
      </c>
      <c r="D56" s="197">
        <v>37.488</v>
      </c>
      <c r="E56" s="197">
        <v>8.6620000000000008</v>
      </c>
      <c r="F56" s="197">
        <v>4.9700000000000001E-2</v>
      </c>
      <c r="G56" s="197">
        <v>0.97270000000000001</v>
      </c>
    </row>
    <row r="57" spans="1:15" x14ac:dyDescent="0.25">
      <c r="A57" s="121"/>
      <c r="B57" s="25" t="s">
        <v>24</v>
      </c>
      <c r="C57" s="26">
        <v>50</v>
      </c>
      <c r="D57" s="92">
        <v>37.488</v>
      </c>
      <c r="E57" s="92">
        <v>8.6620000000000008</v>
      </c>
      <c r="F57" s="92">
        <v>4.9700000000000001E-2</v>
      </c>
      <c r="G57" s="92">
        <v>0.97270000000000001</v>
      </c>
    </row>
    <row r="58" spans="1:15" x14ac:dyDescent="0.25">
      <c r="A58" s="121"/>
      <c r="B58" s="352" t="s">
        <v>157</v>
      </c>
      <c r="C58" s="197">
        <v>50</v>
      </c>
      <c r="D58" s="197">
        <v>56.5</v>
      </c>
      <c r="E58" s="197">
        <v>11.2</v>
      </c>
      <c r="F58" s="197">
        <v>0.35449999999999998</v>
      </c>
      <c r="G58" s="197">
        <v>1.47</v>
      </c>
    </row>
    <row r="59" spans="1:15" x14ac:dyDescent="0.25">
      <c r="A59" s="121"/>
      <c r="B59" s="220" t="s">
        <v>73</v>
      </c>
      <c r="C59" s="222">
        <v>50</v>
      </c>
      <c r="D59" s="222">
        <v>28.12</v>
      </c>
      <c r="E59" s="222">
        <v>4.2699999999999996</v>
      </c>
      <c r="F59" s="222">
        <v>1.26</v>
      </c>
      <c r="G59" s="222">
        <v>0.54</v>
      </c>
      <c r="H59" s="115"/>
      <c r="I59" s="115"/>
      <c r="J59" s="115"/>
      <c r="K59" s="115"/>
      <c r="L59" s="115"/>
    </row>
    <row r="60" spans="1:15" x14ac:dyDescent="0.25">
      <c r="A60" s="121"/>
      <c r="B60" s="220" t="s">
        <v>74</v>
      </c>
      <c r="C60" s="222">
        <v>50</v>
      </c>
      <c r="D60" s="222">
        <v>28.6</v>
      </c>
      <c r="E60" s="222">
        <v>2.86</v>
      </c>
      <c r="F60" s="222">
        <v>1.115</v>
      </c>
      <c r="G60" s="222">
        <v>0.91</v>
      </c>
      <c r="H60" s="115"/>
      <c r="I60" s="115"/>
      <c r="J60" s="115"/>
      <c r="K60" s="115"/>
      <c r="L60" s="115"/>
    </row>
    <row r="61" spans="1:15" x14ac:dyDescent="0.25">
      <c r="A61" s="121"/>
      <c r="B61" s="220" t="s">
        <v>19</v>
      </c>
      <c r="C61" s="197">
        <v>5</v>
      </c>
      <c r="D61" s="197">
        <v>35.25</v>
      </c>
      <c r="E61" s="197">
        <v>0.03</v>
      </c>
      <c r="F61" s="197">
        <v>3.9</v>
      </c>
      <c r="G61" s="197">
        <v>0.01</v>
      </c>
      <c r="H61" s="115"/>
      <c r="I61" s="115"/>
      <c r="J61" s="115"/>
      <c r="K61" s="115"/>
      <c r="L61" s="115"/>
    </row>
    <row r="62" spans="1:15" x14ac:dyDescent="0.25">
      <c r="A62" s="121"/>
      <c r="B62" s="25" t="s">
        <v>20</v>
      </c>
      <c r="C62" s="26">
        <v>10</v>
      </c>
      <c r="D62" s="26">
        <v>61.099899999999998</v>
      </c>
      <c r="E62" s="26">
        <v>1.4198999999999999</v>
      </c>
      <c r="F62" s="26">
        <v>5.3598999999999997</v>
      </c>
      <c r="G62" s="26">
        <v>2.2399</v>
      </c>
      <c r="H62" s="115"/>
      <c r="I62" s="115"/>
      <c r="J62" s="115"/>
      <c r="K62" s="115"/>
      <c r="L62" s="115"/>
    </row>
    <row r="63" spans="1:15" x14ac:dyDescent="0.25">
      <c r="A63" s="121"/>
      <c r="B63" s="220" t="s">
        <v>97</v>
      </c>
      <c r="C63" s="204">
        <v>100</v>
      </c>
      <c r="D63" s="197"/>
      <c r="E63" s="197"/>
      <c r="F63" s="197"/>
      <c r="G63" s="197"/>
    </row>
    <row r="64" spans="1:15" x14ac:dyDescent="0.25">
      <c r="A64" s="227"/>
      <c r="B64" s="126" t="s">
        <v>115</v>
      </c>
      <c r="C64" s="283">
        <v>100</v>
      </c>
      <c r="D64" s="284">
        <v>116</v>
      </c>
      <c r="E64" s="284">
        <v>17.899999999999999</v>
      </c>
      <c r="F64" s="284">
        <v>2.37</v>
      </c>
      <c r="G64" s="284">
        <v>3.4</v>
      </c>
    </row>
    <row r="65" spans="1:7" x14ac:dyDescent="0.25">
      <c r="A65" s="230"/>
      <c r="B65" s="227" t="s">
        <v>98</v>
      </c>
      <c r="C65" s="205">
        <v>50</v>
      </c>
      <c r="D65" s="205">
        <v>115</v>
      </c>
      <c r="E65" s="205">
        <v>24.6</v>
      </c>
      <c r="F65" s="205">
        <v>0.83</v>
      </c>
      <c r="G65" s="205">
        <v>3.94</v>
      </c>
    </row>
    <row r="66" spans="1:7" x14ac:dyDescent="0.25">
      <c r="A66" s="145"/>
      <c r="B66" s="139" t="s">
        <v>52</v>
      </c>
      <c r="C66" s="137">
        <v>100</v>
      </c>
      <c r="D66" s="137">
        <v>67.599999999999994</v>
      </c>
      <c r="E66" s="137">
        <v>15.3</v>
      </c>
      <c r="F66" s="137">
        <v>0.2</v>
      </c>
      <c r="G66" s="137">
        <v>0.8</v>
      </c>
    </row>
    <row r="67" spans="1:7" x14ac:dyDescent="0.25">
      <c r="A67" s="309"/>
      <c r="B67" s="295" t="s">
        <v>8</v>
      </c>
      <c r="C67" s="307"/>
      <c r="D67" s="147">
        <f>SUM(D54:D66)</f>
        <v>766.23590000000002</v>
      </c>
      <c r="E67" s="147">
        <f>SUM(E54:E66)</f>
        <v>111.62389999999998</v>
      </c>
      <c r="F67" s="147">
        <f>SUM(F54:F66)</f>
        <v>32.013800000000003</v>
      </c>
      <c r="G67" s="147">
        <f>SUM(G54:G66)</f>
        <v>24.590300000000003</v>
      </c>
    </row>
    <row r="68" spans="1:7" x14ac:dyDescent="0.25">
      <c r="A68" s="310" t="s">
        <v>79</v>
      </c>
      <c r="B68" s="308" t="s">
        <v>89</v>
      </c>
      <c r="C68" s="313">
        <v>140</v>
      </c>
      <c r="D68" s="26">
        <v>176.5</v>
      </c>
      <c r="E68" s="26">
        <v>20.8</v>
      </c>
      <c r="F68" s="26">
        <v>9.65</v>
      </c>
      <c r="G68" s="26">
        <v>6.8250000000000002</v>
      </c>
    </row>
    <row r="69" spans="1:7" x14ac:dyDescent="0.25">
      <c r="B69" s="131" t="s">
        <v>13</v>
      </c>
      <c r="D69" s="148">
        <f>AVERAGE(D16,D26,D41,D51,D67)</f>
        <v>680.86978000000011</v>
      </c>
      <c r="E69" s="148">
        <f>AVERAGE(E16,E26,E41,E51,E67)</f>
        <v>95.437080000000009</v>
      </c>
      <c r="F69" s="148">
        <f>AVERAGE(F16,F26,F41,F51,F67)</f>
        <v>23.572379999999999</v>
      </c>
      <c r="G69" s="148">
        <f>AVERAGE(G16,G26,G41,G51,G67)</f>
        <v>26.048500000000008</v>
      </c>
    </row>
    <row r="70" spans="1:7" x14ac:dyDescent="0.25">
      <c r="A70" s="303" t="s">
        <v>84</v>
      </c>
      <c r="B70" s="304"/>
    </row>
    <row r="71" spans="1:7" x14ac:dyDescent="0.25">
      <c r="A71" s="113" t="s">
        <v>14</v>
      </c>
      <c r="C71" s="115" t="s">
        <v>15</v>
      </c>
      <c r="D71" s="132"/>
      <c r="E71" s="132"/>
      <c r="F71" s="132"/>
      <c r="G71" s="119"/>
    </row>
  </sheetData>
  <pageMargins left="0.7" right="0.7" top="0.75" bottom="0.75" header="0.3" footer="0.3"/>
  <pageSetup paperSize="9" scale="6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83350-6EEF-4512-BD05-B8775965DA09}">
  <sheetPr>
    <pageSetUpPr fitToPage="1"/>
  </sheetPr>
  <dimension ref="A1:Q71"/>
  <sheetViews>
    <sheetView topLeftCell="A28" zoomScale="95" zoomScaleNormal="95" workbookViewId="0">
      <selection activeCell="B29" sqref="B29"/>
    </sheetView>
  </sheetViews>
  <sheetFormatPr defaultColWidth="9.28515625" defaultRowHeight="15.75" x14ac:dyDescent="0.25"/>
  <cols>
    <col min="1" max="1" width="23.7109375" style="113" customWidth="1"/>
    <col min="2" max="2" width="53.7109375" style="113" customWidth="1"/>
    <col min="3" max="3" width="12.28515625" style="113" customWidth="1"/>
    <col min="4" max="4" width="13.42578125" style="113" bestFit="1" customWidth="1"/>
    <col min="5" max="5" width="14.7109375" style="113" bestFit="1" customWidth="1"/>
    <col min="6" max="6" width="10.28515625" style="113" bestFit="1" customWidth="1"/>
    <col min="7" max="7" width="10" style="113" bestFit="1" customWidth="1"/>
    <col min="8" max="16384" width="9.28515625" style="113"/>
  </cols>
  <sheetData>
    <row r="1" spans="1:16" x14ac:dyDescent="0.25">
      <c r="B1" s="114"/>
    </row>
    <row r="2" spans="1:16" ht="48.75" customHeight="1" x14ac:dyDescent="0.35">
      <c r="A2" s="133" t="s">
        <v>122</v>
      </c>
      <c r="B2" s="134"/>
      <c r="C2" s="10" t="s">
        <v>66</v>
      </c>
      <c r="D2" s="11"/>
    </row>
    <row r="3" spans="1:16" s="119" customFormat="1" ht="24" customHeight="1" x14ac:dyDescent="0.25">
      <c r="A3" s="116" t="s">
        <v>1</v>
      </c>
      <c r="B3" s="117"/>
      <c r="C3" s="118" t="s">
        <v>2</v>
      </c>
      <c r="D3" s="118" t="s">
        <v>3</v>
      </c>
      <c r="E3" s="118" t="s">
        <v>4</v>
      </c>
      <c r="F3" s="118" t="s">
        <v>5</v>
      </c>
      <c r="G3" s="118" t="s">
        <v>6</v>
      </c>
    </row>
    <row r="4" spans="1:16" x14ac:dyDescent="0.25">
      <c r="A4" s="135" t="s">
        <v>7</v>
      </c>
      <c r="B4" s="218" t="s">
        <v>71</v>
      </c>
      <c r="C4" s="203">
        <v>70</v>
      </c>
      <c r="D4" s="202">
        <v>92.1</v>
      </c>
      <c r="E4" s="202">
        <v>9.9250000000000007</v>
      </c>
      <c r="F4" s="202">
        <v>4.34</v>
      </c>
      <c r="G4" s="202">
        <v>4.2300000000000004</v>
      </c>
    </row>
    <row r="5" spans="1:16" x14ac:dyDescent="0.25">
      <c r="A5" s="135"/>
      <c r="B5" s="358" t="s">
        <v>159</v>
      </c>
      <c r="C5" s="203">
        <v>70</v>
      </c>
      <c r="D5" s="202">
        <v>81.424999999999997</v>
      </c>
      <c r="E5" s="202">
        <v>6.0350000000000001</v>
      </c>
      <c r="F5" s="202">
        <v>6.3049999999999997</v>
      </c>
      <c r="G5" s="202">
        <v>9.3800000000000008</v>
      </c>
    </row>
    <row r="6" spans="1:16" x14ac:dyDescent="0.25">
      <c r="A6" s="121"/>
      <c r="B6" s="218" t="s">
        <v>35</v>
      </c>
      <c r="C6" s="197">
        <v>70</v>
      </c>
      <c r="D6" s="197">
        <v>111</v>
      </c>
      <c r="E6" s="197">
        <v>24.9</v>
      </c>
      <c r="F6" s="197">
        <v>0.4</v>
      </c>
      <c r="G6" s="197">
        <v>2.5</v>
      </c>
    </row>
    <row r="7" spans="1:16" x14ac:dyDescent="0.25">
      <c r="A7" s="121"/>
      <c r="B7" s="25" t="s">
        <v>93</v>
      </c>
      <c r="C7" s="26">
        <v>100</v>
      </c>
      <c r="D7" s="26">
        <v>178.92</v>
      </c>
      <c r="E7" s="26">
        <v>34.1</v>
      </c>
      <c r="F7" s="26">
        <v>1.4</v>
      </c>
      <c r="G7" s="26">
        <v>6.6</v>
      </c>
    </row>
    <row r="8" spans="1:16" x14ac:dyDescent="0.25">
      <c r="A8" s="121"/>
      <c r="B8" s="358" t="s">
        <v>160</v>
      </c>
      <c r="C8" s="197">
        <v>50</v>
      </c>
      <c r="D8" s="197">
        <v>29.6</v>
      </c>
      <c r="E8" s="197">
        <v>3.98</v>
      </c>
      <c r="F8" s="197">
        <v>0.89500000000000002</v>
      </c>
      <c r="G8" s="197">
        <v>0.68500000000000005</v>
      </c>
    </row>
    <row r="9" spans="1:16" x14ac:dyDescent="0.25">
      <c r="A9" s="121"/>
      <c r="B9" s="218" t="s">
        <v>70</v>
      </c>
      <c r="C9" s="197">
        <v>50</v>
      </c>
      <c r="D9" s="222">
        <v>19.100000000000001</v>
      </c>
      <c r="E9" s="222">
        <v>3.21</v>
      </c>
      <c r="F9" s="222">
        <v>0.14849999999999999</v>
      </c>
      <c r="G9" s="222">
        <v>0.72499999999999998</v>
      </c>
    </row>
    <row r="10" spans="1:16" x14ac:dyDescent="0.25">
      <c r="A10" s="121"/>
      <c r="B10" s="231" t="s">
        <v>53</v>
      </c>
      <c r="C10" s="203">
        <v>50</v>
      </c>
      <c r="D10" s="202">
        <v>31</v>
      </c>
      <c r="E10" s="202">
        <v>2.0350000000000001</v>
      </c>
      <c r="F10" s="202">
        <v>2.06</v>
      </c>
      <c r="G10" s="202">
        <v>0.73499999999999999</v>
      </c>
    </row>
    <row r="11" spans="1:16" x14ac:dyDescent="0.25">
      <c r="A11" s="219"/>
      <c r="B11" s="220" t="s">
        <v>19</v>
      </c>
      <c r="C11" s="197">
        <v>5</v>
      </c>
      <c r="D11" s="197">
        <v>35.25</v>
      </c>
      <c r="E11" s="197">
        <v>0.03</v>
      </c>
      <c r="F11" s="197">
        <v>3.9</v>
      </c>
      <c r="G11" s="197">
        <v>0.01</v>
      </c>
    </row>
    <row r="12" spans="1:16" x14ac:dyDescent="0.25">
      <c r="A12" s="219"/>
      <c r="B12" s="25" t="s">
        <v>20</v>
      </c>
      <c r="C12" s="26">
        <v>15</v>
      </c>
      <c r="D12" s="26">
        <v>91.65</v>
      </c>
      <c r="E12" s="26">
        <v>2.13</v>
      </c>
      <c r="F12" s="26">
        <v>8.0399999999999991</v>
      </c>
      <c r="G12" s="26">
        <v>3.36</v>
      </c>
    </row>
    <row r="13" spans="1:16" x14ac:dyDescent="0.25">
      <c r="A13" s="121"/>
      <c r="B13" s="218" t="s">
        <v>97</v>
      </c>
      <c r="C13" s="204">
        <v>100</v>
      </c>
      <c r="D13" s="197"/>
      <c r="E13" s="197"/>
      <c r="F13" s="197"/>
      <c r="G13" s="197"/>
      <c r="H13" s="115"/>
      <c r="I13" s="115"/>
      <c r="J13" s="115"/>
      <c r="K13" s="115"/>
    </row>
    <row r="14" spans="1:16" x14ac:dyDescent="0.25">
      <c r="A14" s="121"/>
      <c r="B14" s="121" t="s">
        <v>98</v>
      </c>
      <c r="C14" s="197">
        <v>50</v>
      </c>
      <c r="D14" s="197">
        <v>115</v>
      </c>
      <c r="E14" s="197">
        <v>24.6</v>
      </c>
      <c r="F14" s="197">
        <v>0.83</v>
      </c>
      <c r="G14" s="197">
        <v>3.94</v>
      </c>
      <c r="H14" s="115"/>
      <c r="I14" s="115"/>
      <c r="J14" s="115"/>
      <c r="K14" s="126"/>
      <c r="L14" s="158"/>
      <c r="M14" s="158"/>
      <c r="N14" s="158"/>
      <c r="O14" s="158"/>
      <c r="P14" s="158"/>
    </row>
    <row r="15" spans="1:16" x14ac:dyDescent="0.25">
      <c r="A15" s="121"/>
      <c r="B15" s="220" t="s">
        <v>33</v>
      </c>
      <c r="C15" s="197">
        <v>100</v>
      </c>
      <c r="D15" s="197">
        <v>48.3</v>
      </c>
      <c r="E15" s="197">
        <v>10.9</v>
      </c>
      <c r="F15" s="197">
        <v>0</v>
      </c>
      <c r="G15" s="197">
        <v>0</v>
      </c>
    </row>
    <row r="16" spans="1:16" s="119" customFormat="1" ht="15" customHeight="1" x14ac:dyDescent="0.25">
      <c r="A16" s="123"/>
      <c r="B16" s="206" t="s">
        <v>8</v>
      </c>
      <c r="C16" s="124"/>
      <c r="D16" s="125">
        <f>SUM(D4:D15)</f>
        <v>833.34499999999991</v>
      </c>
      <c r="E16" s="125">
        <f>SUM(E4:E15)</f>
        <v>121.845</v>
      </c>
      <c r="F16" s="125">
        <f>SUM(F4:F15)</f>
        <v>28.318499999999997</v>
      </c>
      <c r="G16" s="125">
        <f>SUM(G4:G15)</f>
        <v>32.164999999999999</v>
      </c>
    </row>
    <row r="17" spans="1:17" ht="15" customHeight="1" x14ac:dyDescent="0.25">
      <c r="A17" s="14" t="s">
        <v>79</v>
      </c>
      <c r="B17" s="12" t="s">
        <v>90</v>
      </c>
      <c r="C17" s="314">
        <v>140</v>
      </c>
      <c r="D17" s="26">
        <v>152.19999999999999</v>
      </c>
      <c r="E17" s="26">
        <v>16.37</v>
      </c>
      <c r="F17" s="26">
        <v>4.0049999999999999</v>
      </c>
      <c r="G17" s="26">
        <v>13.365</v>
      </c>
    </row>
    <row r="18" spans="1:17" ht="24" customHeight="1" x14ac:dyDescent="0.25">
      <c r="A18" s="116" t="s">
        <v>9</v>
      </c>
      <c r="B18" s="117"/>
      <c r="C18" s="118" t="s">
        <v>2</v>
      </c>
      <c r="D18" s="118" t="s">
        <v>3</v>
      </c>
      <c r="E18" s="118" t="s">
        <v>4</v>
      </c>
      <c r="F18" s="118" t="s">
        <v>5</v>
      </c>
      <c r="G18" s="118" t="s">
        <v>6</v>
      </c>
    </row>
    <row r="19" spans="1:17" x14ac:dyDescent="0.25">
      <c r="A19" s="120" t="s">
        <v>7</v>
      </c>
      <c r="B19" s="220" t="s">
        <v>92</v>
      </c>
      <c r="C19" s="197">
        <v>125</v>
      </c>
      <c r="D19" s="222">
        <v>111.25</v>
      </c>
      <c r="E19" s="222">
        <v>12.09</v>
      </c>
      <c r="F19" s="222">
        <v>5.3150000000000004</v>
      </c>
      <c r="G19" s="222">
        <v>7.74</v>
      </c>
      <c r="H19" s="115"/>
    </row>
    <row r="20" spans="1:17" x14ac:dyDescent="0.25">
      <c r="A20" s="120"/>
      <c r="B20" s="220" t="s">
        <v>95</v>
      </c>
      <c r="C20" s="197">
        <v>10</v>
      </c>
      <c r="D20" s="197">
        <v>22.2</v>
      </c>
      <c r="E20" s="197">
        <v>0.38</v>
      </c>
      <c r="F20" s="197">
        <v>2.15</v>
      </c>
      <c r="G20" s="197">
        <v>0.33</v>
      </c>
      <c r="H20" s="115"/>
    </row>
    <row r="21" spans="1:17" x14ac:dyDescent="0.25">
      <c r="A21" s="120"/>
      <c r="B21" s="352" t="s">
        <v>161</v>
      </c>
      <c r="C21" s="197">
        <v>125</v>
      </c>
      <c r="D21" s="197">
        <v>109.05</v>
      </c>
      <c r="E21" s="197">
        <v>11.67</v>
      </c>
      <c r="F21" s="197">
        <v>3.72</v>
      </c>
      <c r="G21" s="197">
        <v>6.585</v>
      </c>
      <c r="H21" s="115"/>
    </row>
    <row r="22" spans="1:17" x14ac:dyDescent="0.25">
      <c r="A22" s="120"/>
      <c r="B22" s="220" t="s">
        <v>116</v>
      </c>
      <c r="C22" s="197">
        <v>160</v>
      </c>
      <c r="D22" s="222">
        <v>222.4</v>
      </c>
      <c r="E22" s="222">
        <v>35.840000000000003</v>
      </c>
      <c r="F22" s="222">
        <v>5.92</v>
      </c>
      <c r="G22" s="222">
        <v>5.92</v>
      </c>
    </row>
    <row r="23" spans="1:17" x14ac:dyDescent="0.25">
      <c r="A23" s="121"/>
      <c r="B23" s="220" t="s">
        <v>97</v>
      </c>
      <c r="C23" s="204">
        <v>100</v>
      </c>
      <c r="D23" s="197"/>
      <c r="E23" s="197"/>
      <c r="F23" s="197"/>
      <c r="G23" s="197"/>
    </row>
    <row r="24" spans="1:17" x14ac:dyDescent="0.25">
      <c r="A24" s="127"/>
      <c r="B24" s="121" t="s">
        <v>98</v>
      </c>
      <c r="C24" s="197">
        <v>50</v>
      </c>
      <c r="D24" s="197">
        <v>115</v>
      </c>
      <c r="E24" s="197">
        <v>24.6</v>
      </c>
      <c r="F24" s="197">
        <v>0.83</v>
      </c>
      <c r="G24" s="197">
        <v>3.94</v>
      </c>
    </row>
    <row r="25" spans="1:17" x14ac:dyDescent="0.25">
      <c r="A25" s="120"/>
      <c r="B25" s="220" t="s">
        <v>29</v>
      </c>
      <c r="C25" s="197">
        <v>100</v>
      </c>
      <c r="D25" s="197">
        <v>32.4</v>
      </c>
      <c r="E25" s="197">
        <v>5.6</v>
      </c>
      <c r="F25" s="197">
        <v>0.2</v>
      </c>
      <c r="G25" s="197">
        <v>0.6</v>
      </c>
      <c r="L25" s="126"/>
      <c r="M25" s="158"/>
      <c r="N25" s="355"/>
      <c r="O25" s="355"/>
      <c r="P25" s="355"/>
      <c r="Q25" s="355"/>
    </row>
    <row r="26" spans="1:17" s="119" customFormat="1" ht="15" customHeight="1" x14ac:dyDescent="0.25">
      <c r="A26" s="128"/>
      <c r="B26" s="206" t="s">
        <v>8</v>
      </c>
      <c r="C26" s="124"/>
      <c r="D26" s="125">
        <f>SUM(D19:D25)</f>
        <v>612.29999999999995</v>
      </c>
      <c r="E26" s="125">
        <f>SUM(E19:E25)</f>
        <v>90.18</v>
      </c>
      <c r="F26" s="125">
        <f>SUM(F19:F25)</f>
        <v>18.134999999999998</v>
      </c>
      <c r="G26" s="125">
        <f>SUM(G19:G25)</f>
        <v>25.115000000000006</v>
      </c>
      <c r="L26" s="126"/>
      <c r="M26" s="158"/>
      <c r="N26" s="158"/>
      <c r="O26" s="158"/>
      <c r="P26" s="158"/>
      <c r="Q26" s="158"/>
    </row>
    <row r="27" spans="1:17" ht="14.25" customHeight="1" x14ac:dyDescent="0.25">
      <c r="A27" s="14" t="s">
        <v>79</v>
      </c>
      <c r="B27" s="12" t="s">
        <v>91</v>
      </c>
      <c r="C27" s="314">
        <v>250</v>
      </c>
      <c r="D27" s="262">
        <v>200.25</v>
      </c>
      <c r="E27" s="262">
        <v>27.6</v>
      </c>
      <c r="F27" s="262">
        <v>4.3</v>
      </c>
      <c r="G27" s="262">
        <v>6.6749999999999998</v>
      </c>
    </row>
    <row r="28" spans="1:17" ht="24" customHeight="1" x14ac:dyDescent="0.25">
      <c r="A28" s="116" t="s">
        <v>10</v>
      </c>
      <c r="B28" s="188"/>
      <c r="C28" s="189" t="s">
        <v>2</v>
      </c>
      <c r="D28" s="189" t="s">
        <v>3</v>
      </c>
      <c r="E28" s="118" t="s">
        <v>4</v>
      </c>
      <c r="F28" s="189" t="s">
        <v>5</v>
      </c>
      <c r="G28" s="189" t="s">
        <v>6</v>
      </c>
    </row>
    <row r="29" spans="1:17" s="119" customFormat="1" x14ac:dyDescent="0.25">
      <c r="A29" s="120" t="s">
        <v>7</v>
      </c>
      <c r="B29" s="220" t="s">
        <v>179</v>
      </c>
      <c r="C29" s="197">
        <v>50</v>
      </c>
      <c r="D29" s="222">
        <v>156</v>
      </c>
      <c r="E29" s="222">
        <v>29.44</v>
      </c>
      <c r="F29" s="222">
        <v>9.5</v>
      </c>
      <c r="G29" s="222">
        <v>11.68</v>
      </c>
    </row>
    <row r="30" spans="1:17" s="119" customFormat="1" x14ac:dyDescent="0.25">
      <c r="A30" s="120"/>
      <c r="B30" s="25" t="s">
        <v>165</v>
      </c>
      <c r="C30" s="26">
        <v>50</v>
      </c>
      <c r="D30" s="92">
        <v>99.6</v>
      </c>
      <c r="E30" s="92">
        <v>0.68</v>
      </c>
      <c r="F30" s="92">
        <v>4.26</v>
      </c>
      <c r="G30" s="92">
        <v>14.46</v>
      </c>
    </row>
    <row r="31" spans="1:17" s="119" customFormat="1" x14ac:dyDescent="0.25">
      <c r="A31" s="121"/>
      <c r="B31" s="220" t="s">
        <v>118</v>
      </c>
      <c r="C31" s="197">
        <v>100</v>
      </c>
      <c r="D31" s="222">
        <v>115</v>
      </c>
      <c r="E31" s="222">
        <v>15.4</v>
      </c>
      <c r="F31" s="222">
        <v>4.76</v>
      </c>
      <c r="G31" s="286">
        <v>2</v>
      </c>
    </row>
    <row r="32" spans="1:17" s="119" customFormat="1" x14ac:dyDescent="0.25">
      <c r="A32" s="121"/>
      <c r="B32" s="38" t="s">
        <v>24</v>
      </c>
      <c r="C32" s="39">
        <v>50</v>
      </c>
      <c r="D32" s="86">
        <v>37.488</v>
      </c>
      <c r="E32" s="86">
        <v>8.6620000000000008</v>
      </c>
      <c r="F32" s="86">
        <v>4.9700000000000001E-2</v>
      </c>
      <c r="G32" s="86">
        <v>0.97270000000000001</v>
      </c>
    </row>
    <row r="33" spans="1:15" s="119" customFormat="1" x14ac:dyDescent="0.25">
      <c r="A33" s="121"/>
      <c r="B33" s="56" t="s">
        <v>162</v>
      </c>
      <c r="C33" s="81">
        <v>50</v>
      </c>
      <c r="D33" s="73">
        <v>29.35</v>
      </c>
      <c r="E33" s="73">
        <v>4.7</v>
      </c>
      <c r="F33" s="73">
        <v>0.219</v>
      </c>
      <c r="G33" s="73">
        <v>1.2</v>
      </c>
      <c r="J33" s="12"/>
      <c r="K33" s="363"/>
      <c r="L33" s="13"/>
      <c r="M33" s="13"/>
      <c r="N33" s="13"/>
      <c r="O33" s="13"/>
    </row>
    <row r="34" spans="1:15" x14ac:dyDescent="0.25">
      <c r="A34" s="121"/>
      <c r="B34" s="362" t="s">
        <v>119</v>
      </c>
      <c r="C34" s="356">
        <v>50</v>
      </c>
      <c r="D34" s="356">
        <v>72.5</v>
      </c>
      <c r="E34" s="356">
        <v>3.47</v>
      </c>
      <c r="F34" s="356">
        <v>5.95</v>
      </c>
      <c r="G34" s="356">
        <v>1.1499999999999999</v>
      </c>
      <c r="H34" s="115"/>
      <c r="I34" s="115"/>
      <c r="J34" s="115"/>
    </row>
    <row r="35" spans="1:15" x14ac:dyDescent="0.25">
      <c r="A35" s="121"/>
      <c r="B35" s="221" t="s">
        <v>54</v>
      </c>
      <c r="C35" s="222">
        <v>50</v>
      </c>
      <c r="D35" s="222">
        <v>15.6</v>
      </c>
      <c r="E35" s="222">
        <v>3.41</v>
      </c>
      <c r="F35" s="222">
        <v>0.91600000000000004</v>
      </c>
      <c r="G35" s="222">
        <v>0.63500000000000001</v>
      </c>
    </row>
    <row r="36" spans="1:15" x14ac:dyDescent="0.25">
      <c r="A36" s="121"/>
      <c r="B36" s="221" t="s">
        <v>55</v>
      </c>
      <c r="C36" s="222">
        <v>50</v>
      </c>
      <c r="D36" s="222">
        <v>33.549999999999997</v>
      </c>
      <c r="E36" s="222">
        <v>2.44</v>
      </c>
      <c r="F36" s="222">
        <v>2.02</v>
      </c>
      <c r="G36" s="222">
        <v>0.85499999999999998</v>
      </c>
    </row>
    <row r="37" spans="1:15" x14ac:dyDescent="0.25">
      <c r="A37" s="121"/>
      <c r="B37" s="221" t="s">
        <v>19</v>
      </c>
      <c r="C37" s="222">
        <v>5</v>
      </c>
      <c r="D37" s="222">
        <v>35.25</v>
      </c>
      <c r="E37" s="222">
        <v>0.03</v>
      </c>
      <c r="F37" s="222">
        <v>3.9</v>
      </c>
      <c r="G37" s="222">
        <v>0.01</v>
      </c>
    </row>
    <row r="38" spans="1:15" x14ac:dyDescent="0.25">
      <c r="A38" s="121"/>
      <c r="B38" s="25" t="s">
        <v>20</v>
      </c>
      <c r="C38" s="26">
        <v>15</v>
      </c>
      <c r="D38" s="26">
        <v>91.65</v>
      </c>
      <c r="E38" s="26">
        <v>2.13</v>
      </c>
      <c r="F38" s="26">
        <v>8.0399999999999991</v>
      </c>
      <c r="G38" s="26">
        <v>3.36</v>
      </c>
    </row>
    <row r="39" spans="1:15" x14ac:dyDescent="0.25">
      <c r="A39" s="127"/>
      <c r="B39" s="221" t="s">
        <v>97</v>
      </c>
      <c r="C39" s="224">
        <v>100</v>
      </c>
      <c r="D39" s="222"/>
      <c r="E39" s="222"/>
      <c r="F39" s="222"/>
      <c r="G39" s="222"/>
    </row>
    <row r="40" spans="1:15" x14ac:dyDescent="0.25">
      <c r="A40" s="120"/>
      <c r="B40" s="136" t="s">
        <v>98</v>
      </c>
      <c r="C40" s="222">
        <v>50</v>
      </c>
      <c r="D40" s="222">
        <v>115</v>
      </c>
      <c r="E40" s="222">
        <v>24.6</v>
      </c>
      <c r="F40" s="222">
        <v>0.83</v>
      </c>
      <c r="G40" s="222">
        <v>3.94</v>
      </c>
    </row>
    <row r="41" spans="1:15" x14ac:dyDescent="0.25">
      <c r="A41" s="127"/>
      <c r="B41" s="221" t="s">
        <v>31</v>
      </c>
      <c r="C41" s="137">
        <v>100</v>
      </c>
      <c r="D41" s="137">
        <v>45.7</v>
      </c>
      <c r="E41" s="137">
        <v>10.01</v>
      </c>
      <c r="F41" s="137">
        <v>0.3</v>
      </c>
      <c r="G41" s="137">
        <v>0.5</v>
      </c>
    </row>
    <row r="42" spans="1:15" s="119" customFormat="1" ht="15" customHeight="1" x14ac:dyDescent="0.25">
      <c r="A42" s="128"/>
      <c r="B42" s="206" t="s">
        <v>8</v>
      </c>
      <c r="C42" s="124"/>
      <c r="D42" s="125">
        <f>SUM(D30:D41)</f>
        <v>690.6880000000001</v>
      </c>
      <c r="E42" s="125">
        <f t="shared" ref="E42:G42" si="0">SUM(E30:E41)</f>
        <v>75.532000000000011</v>
      </c>
      <c r="F42" s="125">
        <f t="shared" si="0"/>
        <v>31.244699999999995</v>
      </c>
      <c r="G42" s="125">
        <f t="shared" si="0"/>
        <v>29.082700000000003</v>
      </c>
    </row>
    <row r="43" spans="1:15" ht="14.25" customHeight="1" x14ac:dyDescent="0.25">
      <c r="A43" s="14" t="s">
        <v>79</v>
      </c>
      <c r="B43" s="12" t="s">
        <v>120</v>
      </c>
      <c r="C43" s="335">
        <v>75</v>
      </c>
      <c r="D43" s="272">
        <v>104.374</v>
      </c>
      <c r="E43" s="272">
        <v>13.263</v>
      </c>
      <c r="F43" s="272">
        <v>3.456</v>
      </c>
      <c r="G43" s="272">
        <v>11.05</v>
      </c>
    </row>
    <row r="44" spans="1:15" ht="24" customHeight="1" x14ac:dyDescent="0.25">
      <c r="A44" s="116" t="s">
        <v>11</v>
      </c>
      <c r="B44" s="117"/>
      <c r="C44" s="118" t="s">
        <v>2</v>
      </c>
      <c r="D44" s="118" t="s">
        <v>3</v>
      </c>
      <c r="E44" s="118" t="s">
        <v>4</v>
      </c>
      <c r="F44" s="118" t="s">
        <v>5</v>
      </c>
      <c r="G44" s="118" t="s">
        <v>6</v>
      </c>
    </row>
    <row r="45" spans="1:15" x14ac:dyDescent="0.25">
      <c r="A45" s="120" t="s">
        <v>7</v>
      </c>
      <c r="B45" s="223" t="s">
        <v>163</v>
      </c>
      <c r="C45" s="197">
        <v>125</v>
      </c>
      <c r="D45" s="222">
        <v>136.25</v>
      </c>
      <c r="E45" s="222">
        <v>11.39</v>
      </c>
      <c r="F45" s="222">
        <v>7.2</v>
      </c>
      <c r="G45" s="222">
        <v>3.8650000000000002</v>
      </c>
    </row>
    <row r="46" spans="1:15" x14ac:dyDescent="0.25">
      <c r="A46" s="120"/>
      <c r="B46" s="361" t="s">
        <v>164</v>
      </c>
      <c r="C46" s="197">
        <v>125</v>
      </c>
      <c r="D46" s="222">
        <v>113.5</v>
      </c>
      <c r="E46" s="222">
        <v>5.875</v>
      </c>
      <c r="F46" s="222">
        <v>5.3150000000000004</v>
      </c>
      <c r="G46" s="222">
        <v>4.3650000000000002</v>
      </c>
    </row>
    <row r="47" spans="1:15" x14ac:dyDescent="0.25">
      <c r="A47" s="120"/>
      <c r="B47" s="220" t="s">
        <v>121</v>
      </c>
      <c r="C47" s="197">
        <v>160</v>
      </c>
      <c r="D47" s="222">
        <v>180.8</v>
      </c>
      <c r="E47" s="222">
        <v>20.64</v>
      </c>
      <c r="F47" s="222">
        <v>6.14</v>
      </c>
      <c r="G47" s="222">
        <v>3.952</v>
      </c>
    </row>
    <row r="48" spans="1:15" x14ac:dyDescent="0.25">
      <c r="A48" s="127"/>
      <c r="B48" s="220" t="s">
        <v>97</v>
      </c>
      <c r="C48" s="204">
        <v>100</v>
      </c>
      <c r="D48" s="197"/>
      <c r="E48" s="197"/>
      <c r="F48" s="197"/>
      <c r="G48" s="197"/>
    </row>
    <row r="49" spans="1:15" x14ac:dyDescent="0.25">
      <c r="A49" s="121"/>
      <c r="B49" s="121" t="s">
        <v>98</v>
      </c>
      <c r="C49" s="197">
        <v>50</v>
      </c>
      <c r="D49" s="197">
        <v>115</v>
      </c>
      <c r="E49" s="197">
        <v>24.6</v>
      </c>
      <c r="F49" s="197">
        <v>0.83</v>
      </c>
      <c r="G49" s="197">
        <v>3.94</v>
      </c>
    </row>
    <row r="50" spans="1:15" x14ac:dyDescent="0.25">
      <c r="A50" s="121"/>
      <c r="B50" s="220" t="s">
        <v>56</v>
      </c>
      <c r="C50" s="197">
        <v>100</v>
      </c>
      <c r="D50" s="197">
        <v>27.3</v>
      </c>
      <c r="E50" s="197">
        <v>4.24</v>
      </c>
      <c r="F50" s="197">
        <v>0.2</v>
      </c>
      <c r="G50" s="197">
        <v>1.1299999999999999</v>
      </c>
      <c r="J50" s="126"/>
      <c r="K50" s="158"/>
      <c r="L50" s="158"/>
      <c r="M50" s="158"/>
      <c r="N50" s="158"/>
      <c r="O50" s="158"/>
    </row>
    <row r="51" spans="1:15" s="119" customFormat="1" ht="15.75" customHeight="1" x14ac:dyDescent="0.25">
      <c r="A51" s="123"/>
      <c r="B51" s="206" t="s">
        <v>8</v>
      </c>
      <c r="C51" s="124"/>
      <c r="D51" s="125">
        <f>SUM(D45:D50)</f>
        <v>572.84999999999991</v>
      </c>
      <c r="E51" s="125">
        <f>SUM(E45:E50)</f>
        <v>66.745000000000005</v>
      </c>
      <c r="F51" s="125">
        <f>SUM(F45:F50)</f>
        <v>19.684999999999999</v>
      </c>
      <c r="G51" s="125">
        <f>SUM(G45:G50)</f>
        <v>17.251999999999999</v>
      </c>
    </row>
    <row r="52" spans="1:15" ht="14.25" customHeight="1" x14ac:dyDescent="0.25">
      <c r="A52" s="14" t="s">
        <v>79</v>
      </c>
      <c r="B52" s="12" t="s">
        <v>117</v>
      </c>
      <c r="C52" s="314">
        <v>250</v>
      </c>
      <c r="D52" s="262">
        <v>184.78</v>
      </c>
      <c r="E52" s="262">
        <v>17.3</v>
      </c>
      <c r="F52" s="262">
        <v>9.5399999999999991</v>
      </c>
      <c r="G52" s="262">
        <v>7.69</v>
      </c>
    </row>
    <row r="53" spans="1:15" ht="24" customHeight="1" x14ac:dyDescent="0.25">
      <c r="A53" s="129" t="s">
        <v>12</v>
      </c>
      <c r="B53" s="117"/>
      <c r="C53" s="118" t="s">
        <v>2</v>
      </c>
      <c r="D53" s="118" t="s">
        <v>3</v>
      </c>
      <c r="E53" s="118" t="s">
        <v>4</v>
      </c>
      <c r="F53" s="118" t="s">
        <v>5</v>
      </c>
      <c r="G53" s="118" t="s">
        <v>6</v>
      </c>
    </row>
    <row r="54" spans="1:15" x14ac:dyDescent="0.25">
      <c r="A54" s="120" t="s">
        <v>7</v>
      </c>
      <c r="B54" s="130" t="s">
        <v>171</v>
      </c>
      <c r="C54" s="197">
        <v>70</v>
      </c>
      <c r="D54" s="222">
        <v>127.76</v>
      </c>
      <c r="E54" s="222">
        <v>9.8800000000000008</v>
      </c>
      <c r="F54" s="222">
        <v>7.45</v>
      </c>
      <c r="G54" s="222">
        <v>3.93</v>
      </c>
    </row>
    <row r="55" spans="1:15" x14ac:dyDescent="0.25">
      <c r="A55" s="120"/>
      <c r="B55" s="364" t="s">
        <v>166</v>
      </c>
      <c r="C55" s="197">
        <v>70</v>
      </c>
      <c r="D55" s="222">
        <v>125.3</v>
      </c>
      <c r="E55" s="222">
        <v>15.39</v>
      </c>
      <c r="F55" s="222">
        <v>5.1349999999999998</v>
      </c>
      <c r="G55" s="222">
        <v>3.34</v>
      </c>
    </row>
    <row r="56" spans="1:15" x14ac:dyDescent="0.25">
      <c r="A56" s="120"/>
      <c r="B56" s="220" t="s">
        <v>57</v>
      </c>
      <c r="C56" s="197">
        <v>50</v>
      </c>
      <c r="D56" s="222">
        <v>60.137</v>
      </c>
      <c r="E56" s="222">
        <v>12.0345</v>
      </c>
      <c r="F56" s="222">
        <v>1.7465999999999999</v>
      </c>
      <c r="G56" s="222">
        <v>1.2566999999999999</v>
      </c>
      <c r="H56" s="115"/>
      <c r="I56" s="115"/>
      <c r="J56" s="115"/>
    </row>
    <row r="57" spans="1:15" x14ac:dyDescent="0.25">
      <c r="A57" s="120"/>
      <c r="B57" s="25" t="s">
        <v>16</v>
      </c>
      <c r="C57" s="26">
        <v>50</v>
      </c>
      <c r="D57" s="26">
        <v>64.61</v>
      </c>
      <c r="E57" s="26">
        <v>14.31</v>
      </c>
      <c r="F57" s="26">
        <v>0.127</v>
      </c>
      <c r="G57" s="26">
        <v>1.4697</v>
      </c>
      <c r="H57" s="115"/>
      <c r="I57" s="115"/>
      <c r="J57" s="115"/>
    </row>
    <row r="58" spans="1:15" x14ac:dyDescent="0.25">
      <c r="A58" s="120"/>
      <c r="B58" s="352" t="s">
        <v>156</v>
      </c>
      <c r="C58" s="197">
        <v>50</v>
      </c>
      <c r="D58" s="197">
        <v>61</v>
      </c>
      <c r="E58" s="197">
        <v>11.75</v>
      </c>
      <c r="F58" s="197">
        <v>0.39550000000000002</v>
      </c>
      <c r="G58" s="197">
        <v>2.0299999999999998</v>
      </c>
      <c r="H58" s="115"/>
      <c r="I58" s="115"/>
      <c r="J58" s="115"/>
    </row>
    <row r="59" spans="1:15" x14ac:dyDescent="0.25">
      <c r="A59" s="127"/>
      <c r="B59" s="220" t="s">
        <v>58</v>
      </c>
      <c r="C59" s="197">
        <v>50</v>
      </c>
      <c r="D59" s="197">
        <v>25.6</v>
      </c>
      <c r="E59" s="197">
        <v>6.99</v>
      </c>
      <c r="F59" s="197">
        <v>2.1</v>
      </c>
      <c r="G59" s="197">
        <v>1.03</v>
      </c>
      <c r="H59" s="115"/>
      <c r="I59" s="115"/>
      <c r="J59" s="115"/>
      <c r="K59" s="115"/>
      <c r="L59" s="115"/>
    </row>
    <row r="60" spans="1:15" x14ac:dyDescent="0.25">
      <c r="A60" s="127"/>
      <c r="B60" s="221" t="s">
        <v>76</v>
      </c>
      <c r="C60" s="197">
        <v>50</v>
      </c>
      <c r="D60" s="197">
        <v>40.049999999999997</v>
      </c>
      <c r="E60" s="197">
        <v>4.6349999999999998</v>
      </c>
      <c r="F60" s="197">
        <v>1.1599999999999999</v>
      </c>
      <c r="G60" s="197">
        <v>1.57</v>
      </c>
    </row>
    <row r="61" spans="1:15" x14ac:dyDescent="0.25">
      <c r="A61" s="127"/>
      <c r="B61" s="221" t="s">
        <v>19</v>
      </c>
      <c r="C61" s="222">
        <v>5</v>
      </c>
      <c r="D61" s="222">
        <v>35.25</v>
      </c>
      <c r="E61" s="222">
        <v>0.03</v>
      </c>
      <c r="F61" s="222">
        <v>3.9</v>
      </c>
      <c r="G61" s="222">
        <v>0.01</v>
      </c>
    </row>
    <row r="62" spans="1:15" x14ac:dyDescent="0.25">
      <c r="A62" s="127"/>
      <c r="B62" s="25" t="s">
        <v>20</v>
      </c>
      <c r="C62" s="26">
        <v>10</v>
      </c>
      <c r="D62" s="26">
        <v>61.099899999999998</v>
      </c>
      <c r="E62" s="26">
        <v>1.4198999999999999</v>
      </c>
      <c r="F62" s="26">
        <v>5.3598999999999997</v>
      </c>
      <c r="G62" s="26">
        <v>2.2399</v>
      </c>
    </row>
    <row r="63" spans="1:15" x14ac:dyDescent="0.25">
      <c r="A63" s="121"/>
      <c r="B63" s="220" t="s">
        <v>97</v>
      </c>
      <c r="C63" s="204">
        <v>100</v>
      </c>
      <c r="D63" s="197"/>
      <c r="E63" s="197"/>
      <c r="F63" s="197"/>
      <c r="G63" s="197"/>
    </row>
    <row r="64" spans="1:15" x14ac:dyDescent="0.25">
      <c r="A64" s="344"/>
      <c r="B64" s="126" t="s">
        <v>170</v>
      </c>
      <c r="C64" s="204">
        <v>100</v>
      </c>
      <c r="D64" s="197">
        <v>107</v>
      </c>
      <c r="E64" s="197">
        <v>15.7</v>
      </c>
      <c r="F64" s="197">
        <v>3.13</v>
      </c>
      <c r="G64" s="197">
        <v>3.66</v>
      </c>
    </row>
    <row r="65" spans="1:7" x14ac:dyDescent="0.25">
      <c r="A65" s="127"/>
      <c r="B65" s="121" t="s">
        <v>98</v>
      </c>
      <c r="C65" s="197">
        <v>50</v>
      </c>
      <c r="D65" s="197">
        <v>115</v>
      </c>
      <c r="E65" s="197">
        <v>24.6</v>
      </c>
      <c r="F65" s="197">
        <v>0.83</v>
      </c>
      <c r="G65" s="197">
        <v>3.94</v>
      </c>
    </row>
    <row r="66" spans="1:7" x14ac:dyDescent="0.25">
      <c r="A66" s="121"/>
      <c r="B66" s="220" t="s">
        <v>27</v>
      </c>
      <c r="C66" s="197">
        <v>100</v>
      </c>
      <c r="D66" s="197">
        <v>46.4</v>
      </c>
      <c r="E66" s="197">
        <v>10.02</v>
      </c>
      <c r="F66" s="197">
        <v>0</v>
      </c>
      <c r="G66" s="197">
        <v>0.3</v>
      </c>
    </row>
    <row r="67" spans="1:7" x14ac:dyDescent="0.25">
      <c r="A67" s="128"/>
      <c r="B67" s="311" t="s">
        <v>8</v>
      </c>
      <c r="C67" s="312"/>
      <c r="D67" s="232">
        <f>SUM(D54:D66)</f>
        <v>869.20690000000013</v>
      </c>
      <c r="E67" s="232">
        <f>SUM(E54:E66)</f>
        <v>126.75940000000001</v>
      </c>
      <c r="F67" s="232">
        <f>SUM(F54:F66)</f>
        <v>31.334</v>
      </c>
      <c r="G67" s="232">
        <f>SUM(G54:G66)</f>
        <v>24.776299999999999</v>
      </c>
    </row>
    <row r="68" spans="1:7" x14ac:dyDescent="0.25">
      <c r="A68" s="315" t="s">
        <v>79</v>
      </c>
      <c r="B68" s="308" t="s">
        <v>135</v>
      </c>
      <c r="C68" s="313">
        <v>140</v>
      </c>
      <c r="D68" s="274">
        <v>169.89</v>
      </c>
      <c r="E68" s="274">
        <v>11.234999999999999</v>
      </c>
      <c r="F68" s="274">
        <v>10.050000000000001</v>
      </c>
      <c r="G68" s="274">
        <v>5.52</v>
      </c>
    </row>
    <row r="69" spans="1:7" x14ac:dyDescent="0.25">
      <c r="B69" s="131" t="s">
        <v>13</v>
      </c>
      <c r="D69" s="148">
        <f>(D16+D26+D42+D51+D67)/5</f>
        <v>715.67798000000005</v>
      </c>
      <c r="E69" s="148">
        <f>(E16+E26+E42+E51+E67)/5</f>
        <v>96.212280000000007</v>
      </c>
      <c r="F69" s="148">
        <f>(F16+F26+F42+F51+F67)/5</f>
        <v>25.74344</v>
      </c>
      <c r="G69" s="148">
        <f>(G16+G26+G42+G51+G67)/5</f>
        <v>25.678199999999997</v>
      </c>
    </row>
    <row r="70" spans="1:7" x14ac:dyDescent="0.25">
      <c r="A70" s="303" t="s">
        <v>84</v>
      </c>
      <c r="B70" s="304"/>
    </row>
    <row r="71" spans="1:7" x14ac:dyDescent="0.25">
      <c r="A71" s="113" t="s">
        <v>14</v>
      </c>
      <c r="C71" s="115" t="s">
        <v>15</v>
      </c>
      <c r="D71" s="132"/>
      <c r="E71" s="132"/>
      <c r="F71" s="132"/>
      <c r="G71" s="119"/>
    </row>
  </sheetData>
  <pageMargins left="0.7" right="0.7" top="0.75" bottom="0.75" header="0.3" footer="0.3"/>
  <pageSetup paperSize="9" scale="6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70"/>
  <sheetViews>
    <sheetView tabSelected="1" zoomScale="80" zoomScaleNormal="80" workbookViewId="0">
      <selection activeCell="C55" sqref="C55"/>
    </sheetView>
  </sheetViews>
  <sheetFormatPr defaultRowHeight="15.75" x14ac:dyDescent="0.25"/>
  <cols>
    <col min="1" max="1" width="23" style="22" customWidth="1"/>
    <col min="2" max="2" width="60.7109375" style="19" customWidth="1"/>
    <col min="3" max="3" width="13.7109375" style="19" customWidth="1"/>
    <col min="4" max="4" width="13.28515625" style="19" customWidth="1"/>
    <col min="5" max="5" width="16.42578125" style="19" customWidth="1"/>
    <col min="6" max="6" width="11.28515625" style="19" customWidth="1"/>
    <col min="7" max="7" width="12.5703125" style="19" customWidth="1"/>
    <col min="8" max="257" width="9.28515625" style="22"/>
    <col min="258" max="258" width="37.7109375" style="22" customWidth="1"/>
    <col min="259" max="260" width="14.28515625" style="22" customWidth="1"/>
    <col min="261" max="261" width="13.5703125" style="22" customWidth="1"/>
    <col min="262" max="262" width="15.7109375" style="22" customWidth="1"/>
    <col min="263" max="263" width="15.5703125" style="22" customWidth="1"/>
    <col min="264" max="513" width="9.28515625" style="22"/>
    <col min="514" max="514" width="37.7109375" style="22" customWidth="1"/>
    <col min="515" max="516" width="14.28515625" style="22" customWidth="1"/>
    <col min="517" max="517" width="13.5703125" style="22" customWidth="1"/>
    <col min="518" max="518" width="15.7109375" style="22" customWidth="1"/>
    <col min="519" max="519" width="15.5703125" style="22" customWidth="1"/>
    <col min="520" max="769" width="9.28515625" style="22"/>
    <col min="770" max="770" width="37.7109375" style="22" customWidth="1"/>
    <col min="771" max="772" width="14.28515625" style="22" customWidth="1"/>
    <col min="773" max="773" width="13.5703125" style="22" customWidth="1"/>
    <col min="774" max="774" width="15.7109375" style="22" customWidth="1"/>
    <col min="775" max="775" width="15.5703125" style="22" customWidth="1"/>
    <col min="776" max="1025" width="9.28515625" style="22"/>
    <col min="1026" max="1026" width="37.7109375" style="22" customWidth="1"/>
    <col min="1027" max="1028" width="14.28515625" style="22" customWidth="1"/>
    <col min="1029" max="1029" width="13.5703125" style="22" customWidth="1"/>
    <col min="1030" max="1030" width="15.7109375" style="22" customWidth="1"/>
    <col min="1031" max="1031" width="15.5703125" style="22" customWidth="1"/>
    <col min="1032" max="1281" width="9.28515625" style="22"/>
    <col min="1282" max="1282" width="37.7109375" style="22" customWidth="1"/>
    <col min="1283" max="1284" width="14.28515625" style="22" customWidth="1"/>
    <col min="1285" max="1285" width="13.5703125" style="22" customWidth="1"/>
    <col min="1286" max="1286" width="15.7109375" style="22" customWidth="1"/>
    <col min="1287" max="1287" width="15.5703125" style="22" customWidth="1"/>
    <col min="1288" max="1537" width="9.28515625" style="22"/>
    <col min="1538" max="1538" width="37.7109375" style="22" customWidth="1"/>
    <col min="1539" max="1540" width="14.28515625" style="22" customWidth="1"/>
    <col min="1541" max="1541" width="13.5703125" style="22" customWidth="1"/>
    <col min="1542" max="1542" width="15.7109375" style="22" customWidth="1"/>
    <col min="1543" max="1543" width="15.5703125" style="22" customWidth="1"/>
    <col min="1544" max="1793" width="9.28515625" style="22"/>
    <col min="1794" max="1794" width="37.7109375" style="22" customWidth="1"/>
    <col min="1795" max="1796" width="14.28515625" style="22" customWidth="1"/>
    <col min="1797" max="1797" width="13.5703125" style="22" customWidth="1"/>
    <col min="1798" max="1798" width="15.7109375" style="22" customWidth="1"/>
    <col min="1799" max="1799" width="15.5703125" style="22" customWidth="1"/>
    <col min="1800" max="2049" width="9.28515625" style="22"/>
    <col min="2050" max="2050" width="37.7109375" style="22" customWidth="1"/>
    <col min="2051" max="2052" width="14.28515625" style="22" customWidth="1"/>
    <col min="2053" max="2053" width="13.5703125" style="22" customWidth="1"/>
    <col min="2054" max="2054" width="15.7109375" style="22" customWidth="1"/>
    <col min="2055" max="2055" width="15.5703125" style="22" customWidth="1"/>
    <col min="2056" max="2305" width="9.28515625" style="22"/>
    <col min="2306" max="2306" width="37.7109375" style="22" customWidth="1"/>
    <col min="2307" max="2308" width="14.28515625" style="22" customWidth="1"/>
    <col min="2309" max="2309" width="13.5703125" style="22" customWidth="1"/>
    <col min="2310" max="2310" width="15.7109375" style="22" customWidth="1"/>
    <col min="2311" max="2311" width="15.5703125" style="22" customWidth="1"/>
    <col min="2312" max="2561" width="9.28515625" style="22"/>
    <col min="2562" max="2562" width="37.7109375" style="22" customWidth="1"/>
    <col min="2563" max="2564" width="14.28515625" style="22" customWidth="1"/>
    <col min="2565" max="2565" width="13.5703125" style="22" customWidth="1"/>
    <col min="2566" max="2566" width="15.7109375" style="22" customWidth="1"/>
    <col min="2567" max="2567" width="15.5703125" style="22" customWidth="1"/>
    <col min="2568" max="2817" width="9.28515625" style="22"/>
    <col min="2818" max="2818" width="37.7109375" style="22" customWidth="1"/>
    <col min="2819" max="2820" width="14.28515625" style="22" customWidth="1"/>
    <col min="2821" max="2821" width="13.5703125" style="22" customWidth="1"/>
    <col min="2822" max="2822" width="15.7109375" style="22" customWidth="1"/>
    <col min="2823" max="2823" width="15.5703125" style="22" customWidth="1"/>
    <col min="2824" max="3073" width="9.28515625" style="22"/>
    <col min="3074" max="3074" width="37.7109375" style="22" customWidth="1"/>
    <col min="3075" max="3076" width="14.28515625" style="22" customWidth="1"/>
    <col min="3077" max="3077" width="13.5703125" style="22" customWidth="1"/>
    <col min="3078" max="3078" width="15.7109375" style="22" customWidth="1"/>
    <col min="3079" max="3079" width="15.5703125" style="22" customWidth="1"/>
    <col min="3080" max="3329" width="9.28515625" style="22"/>
    <col min="3330" max="3330" width="37.7109375" style="22" customWidth="1"/>
    <col min="3331" max="3332" width="14.28515625" style="22" customWidth="1"/>
    <col min="3333" max="3333" width="13.5703125" style="22" customWidth="1"/>
    <col min="3334" max="3334" width="15.7109375" style="22" customWidth="1"/>
    <col min="3335" max="3335" width="15.5703125" style="22" customWidth="1"/>
    <col min="3336" max="3585" width="9.28515625" style="22"/>
    <col min="3586" max="3586" width="37.7109375" style="22" customWidth="1"/>
    <col min="3587" max="3588" width="14.28515625" style="22" customWidth="1"/>
    <col min="3589" max="3589" width="13.5703125" style="22" customWidth="1"/>
    <col min="3590" max="3590" width="15.7109375" style="22" customWidth="1"/>
    <col min="3591" max="3591" width="15.5703125" style="22" customWidth="1"/>
    <col min="3592" max="3841" width="9.28515625" style="22"/>
    <col min="3842" max="3842" width="37.7109375" style="22" customWidth="1"/>
    <col min="3843" max="3844" width="14.28515625" style="22" customWidth="1"/>
    <col min="3845" max="3845" width="13.5703125" style="22" customWidth="1"/>
    <col min="3846" max="3846" width="15.7109375" style="22" customWidth="1"/>
    <col min="3847" max="3847" width="15.5703125" style="22" customWidth="1"/>
    <col min="3848" max="4097" width="9.28515625" style="22"/>
    <col min="4098" max="4098" width="37.7109375" style="22" customWidth="1"/>
    <col min="4099" max="4100" width="14.28515625" style="22" customWidth="1"/>
    <col min="4101" max="4101" width="13.5703125" style="22" customWidth="1"/>
    <col min="4102" max="4102" width="15.7109375" style="22" customWidth="1"/>
    <col min="4103" max="4103" width="15.5703125" style="22" customWidth="1"/>
    <col min="4104" max="4353" width="9.28515625" style="22"/>
    <col min="4354" max="4354" width="37.7109375" style="22" customWidth="1"/>
    <col min="4355" max="4356" width="14.28515625" style="22" customWidth="1"/>
    <col min="4357" max="4357" width="13.5703125" style="22" customWidth="1"/>
    <col min="4358" max="4358" width="15.7109375" style="22" customWidth="1"/>
    <col min="4359" max="4359" width="15.5703125" style="22" customWidth="1"/>
    <col min="4360" max="4609" width="9.28515625" style="22"/>
    <col min="4610" max="4610" width="37.7109375" style="22" customWidth="1"/>
    <col min="4611" max="4612" width="14.28515625" style="22" customWidth="1"/>
    <col min="4613" max="4613" width="13.5703125" style="22" customWidth="1"/>
    <col min="4614" max="4614" width="15.7109375" style="22" customWidth="1"/>
    <col min="4615" max="4615" width="15.5703125" style="22" customWidth="1"/>
    <col min="4616" max="4865" width="9.28515625" style="22"/>
    <col min="4866" max="4866" width="37.7109375" style="22" customWidth="1"/>
    <col min="4867" max="4868" width="14.28515625" style="22" customWidth="1"/>
    <col min="4869" max="4869" width="13.5703125" style="22" customWidth="1"/>
    <col min="4870" max="4870" width="15.7109375" style="22" customWidth="1"/>
    <col min="4871" max="4871" width="15.5703125" style="22" customWidth="1"/>
    <col min="4872" max="5121" width="9.28515625" style="22"/>
    <col min="5122" max="5122" width="37.7109375" style="22" customWidth="1"/>
    <col min="5123" max="5124" width="14.28515625" style="22" customWidth="1"/>
    <col min="5125" max="5125" width="13.5703125" style="22" customWidth="1"/>
    <col min="5126" max="5126" width="15.7109375" style="22" customWidth="1"/>
    <col min="5127" max="5127" width="15.5703125" style="22" customWidth="1"/>
    <col min="5128" max="5377" width="9.28515625" style="22"/>
    <col min="5378" max="5378" width="37.7109375" style="22" customWidth="1"/>
    <col min="5379" max="5380" width="14.28515625" style="22" customWidth="1"/>
    <col min="5381" max="5381" width="13.5703125" style="22" customWidth="1"/>
    <col min="5382" max="5382" width="15.7109375" style="22" customWidth="1"/>
    <col min="5383" max="5383" width="15.5703125" style="22" customWidth="1"/>
    <col min="5384" max="5633" width="9.28515625" style="22"/>
    <col min="5634" max="5634" width="37.7109375" style="22" customWidth="1"/>
    <col min="5635" max="5636" width="14.28515625" style="22" customWidth="1"/>
    <col min="5637" max="5637" width="13.5703125" style="22" customWidth="1"/>
    <col min="5638" max="5638" width="15.7109375" style="22" customWidth="1"/>
    <col min="5639" max="5639" width="15.5703125" style="22" customWidth="1"/>
    <col min="5640" max="5889" width="9.28515625" style="22"/>
    <col min="5890" max="5890" width="37.7109375" style="22" customWidth="1"/>
    <col min="5891" max="5892" width="14.28515625" style="22" customWidth="1"/>
    <col min="5893" max="5893" width="13.5703125" style="22" customWidth="1"/>
    <col min="5894" max="5894" width="15.7109375" style="22" customWidth="1"/>
    <col min="5895" max="5895" width="15.5703125" style="22" customWidth="1"/>
    <col min="5896" max="6145" width="9.28515625" style="22"/>
    <col min="6146" max="6146" width="37.7109375" style="22" customWidth="1"/>
    <col min="6147" max="6148" width="14.28515625" style="22" customWidth="1"/>
    <col min="6149" max="6149" width="13.5703125" style="22" customWidth="1"/>
    <col min="6150" max="6150" width="15.7109375" style="22" customWidth="1"/>
    <col min="6151" max="6151" width="15.5703125" style="22" customWidth="1"/>
    <col min="6152" max="6401" width="9.28515625" style="22"/>
    <col min="6402" max="6402" width="37.7109375" style="22" customWidth="1"/>
    <col min="6403" max="6404" width="14.28515625" style="22" customWidth="1"/>
    <col min="6405" max="6405" width="13.5703125" style="22" customWidth="1"/>
    <col min="6406" max="6406" width="15.7109375" style="22" customWidth="1"/>
    <col min="6407" max="6407" width="15.5703125" style="22" customWidth="1"/>
    <col min="6408" max="6657" width="9.28515625" style="22"/>
    <col min="6658" max="6658" width="37.7109375" style="22" customWidth="1"/>
    <col min="6659" max="6660" width="14.28515625" style="22" customWidth="1"/>
    <col min="6661" max="6661" width="13.5703125" style="22" customWidth="1"/>
    <col min="6662" max="6662" width="15.7109375" style="22" customWidth="1"/>
    <col min="6663" max="6663" width="15.5703125" style="22" customWidth="1"/>
    <col min="6664" max="6913" width="9.28515625" style="22"/>
    <col min="6914" max="6914" width="37.7109375" style="22" customWidth="1"/>
    <col min="6915" max="6916" width="14.28515625" style="22" customWidth="1"/>
    <col min="6917" max="6917" width="13.5703125" style="22" customWidth="1"/>
    <col min="6918" max="6918" width="15.7109375" style="22" customWidth="1"/>
    <col min="6919" max="6919" width="15.5703125" style="22" customWidth="1"/>
    <col min="6920" max="7169" width="9.28515625" style="22"/>
    <col min="7170" max="7170" width="37.7109375" style="22" customWidth="1"/>
    <col min="7171" max="7172" width="14.28515625" style="22" customWidth="1"/>
    <col min="7173" max="7173" width="13.5703125" style="22" customWidth="1"/>
    <col min="7174" max="7174" width="15.7109375" style="22" customWidth="1"/>
    <col min="7175" max="7175" width="15.5703125" style="22" customWidth="1"/>
    <col min="7176" max="7425" width="9.28515625" style="22"/>
    <col min="7426" max="7426" width="37.7109375" style="22" customWidth="1"/>
    <col min="7427" max="7428" width="14.28515625" style="22" customWidth="1"/>
    <col min="7429" max="7429" width="13.5703125" style="22" customWidth="1"/>
    <col min="7430" max="7430" width="15.7109375" style="22" customWidth="1"/>
    <col min="7431" max="7431" width="15.5703125" style="22" customWidth="1"/>
    <col min="7432" max="7681" width="9.28515625" style="22"/>
    <col min="7682" max="7682" width="37.7109375" style="22" customWidth="1"/>
    <col min="7683" max="7684" width="14.28515625" style="22" customWidth="1"/>
    <col min="7685" max="7685" width="13.5703125" style="22" customWidth="1"/>
    <col min="7686" max="7686" width="15.7109375" style="22" customWidth="1"/>
    <col min="7687" max="7687" width="15.5703125" style="22" customWidth="1"/>
    <col min="7688" max="7937" width="9.28515625" style="22"/>
    <col min="7938" max="7938" width="37.7109375" style="22" customWidth="1"/>
    <col min="7939" max="7940" width="14.28515625" style="22" customWidth="1"/>
    <col min="7941" max="7941" width="13.5703125" style="22" customWidth="1"/>
    <col min="7942" max="7942" width="15.7109375" style="22" customWidth="1"/>
    <col min="7943" max="7943" width="15.5703125" style="22" customWidth="1"/>
    <col min="7944" max="8193" width="9.28515625" style="22"/>
    <col min="8194" max="8194" width="37.7109375" style="22" customWidth="1"/>
    <col min="8195" max="8196" width="14.28515625" style="22" customWidth="1"/>
    <col min="8197" max="8197" width="13.5703125" style="22" customWidth="1"/>
    <col min="8198" max="8198" width="15.7109375" style="22" customWidth="1"/>
    <col min="8199" max="8199" width="15.5703125" style="22" customWidth="1"/>
    <col min="8200" max="8449" width="9.28515625" style="22"/>
    <col min="8450" max="8450" width="37.7109375" style="22" customWidth="1"/>
    <col min="8451" max="8452" width="14.28515625" style="22" customWidth="1"/>
    <col min="8453" max="8453" width="13.5703125" style="22" customWidth="1"/>
    <col min="8454" max="8454" width="15.7109375" style="22" customWidth="1"/>
    <col min="8455" max="8455" width="15.5703125" style="22" customWidth="1"/>
    <col min="8456" max="8705" width="9.28515625" style="22"/>
    <col min="8706" max="8706" width="37.7109375" style="22" customWidth="1"/>
    <col min="8707" max="8708" width="14.28515625" style="22" customWidth="1"/>
    <col min="8709" max="8709" width="13.5703125" style="22" customWidth="1"/>
    <col min="8710" max="8710" width="15.7109375" style="22" customWidth="1"/>
    <col min="8711" max="8711" width="15.5703125" style="22" customWidth="1"/>
    <col min="8712" max="8961" width="9.28515625" style="22"/>
    <col min="8962" max="8962" width="37.7109375" style="22" customWidth="1"/>
    <col min="8963" max="8964" width="14.28515625" style="22" customWidth="1"/>
    <col min="8965" max="8965" width="13.5703125" style="22" customWidth="1"/>
    <col min="8966" max="8966" width="15.7109375" style="22" customWidth="1"/>
    <col min="8967" max="8967" width="15.5703125" style="22" customWidth="1"/>
    <col min="8968" max="9217" width="9.28515625" style="22"/>
    <col min="9218" max="9218" width="37.7109375" style="22" customWidth="1"/>
    <col min="9219" max="9220" width="14.28515625" style="22" customWidth="1"/>
    <col min="9221" max="9221" width="13.5703125" style="22" customWidth="1"/>
    <col min="9222" max="9222" width="15.7109375" style="22" customWidth="1"/>
    <col min="9223" max="9223" width="15.5703125" style="22" customWidth="1"/>
    <col min="9224" max="9473" width="9.28515625" style="22"/>
    <col min="9474" max="9474" width="37.7109375" style="22" customWidth="1"/>
    <col min="9475" max="9476" width="14.28515625" style="22" customWidth="1"/>
    <col min="9477" max="9477" width="13.5703125" style="22" customWidth="1"/>
    <col min="9478" max="9478" width="15.7109375" style="22" customWidth="1"/>
    <col min="9479" max="9479" width="15.5703125" style="22" customWidth="1"/>
    <col min="9480" max="9729" width="9.28515625" style="22"/>
    <col min="9730" max="9730" width="37.7109375" style="22" customWidth="1"/>
    <col min="9731" max="9732" width="14.28515625" style="22" customWidth="1"/>
    <col min="9733" max="9733" width="13.5703125" style="22" customWidth="1"/>
    <col min="9734" max="9734" width="15.7109375" style="22" customWidth="1"/>
    <col min="9735" max="9735" width="15.5703125" style="22" customWidth="1"/>
    <col min="9736" max="9985" width="9.28515625" style="22"/>
    <col min="9986" max="9986" width="37.7109375" style="22" customWidth="1"/>
    <col min="9987" max="9988" width="14.28515625" style="22" customWidth="1"/>
    <col min="9989" max="9989" width="13.5703125" style="22" customWidth="1"/>
    <col min="9990" max="9990" width="15.7109375" style="22" customWidth="1"/>
    <col min="9991" max="9991" width="15.5703125" style="22" customWidth="1"/>
    <col min="9992" max="10241" width="9.28515625" style="22"/>
    <col min="10242" max="10242" width="37.7109375" style="22" customWidth="1"/>
    <col min="10243" max="10244" width="14.28515625" style="22" customWidth="1"/>
    <col min="10245" max="10245" width="13.5703125" style="22" customWidth="1"/>
    <col min="10246" max="10246" width="15.7109375" style="22" customWidth="1"/>
    <col min="10247" max="10247" width="15.5703125" style="22" customWidth="1"/>
    <col min="10248" max="10497" width="9.28515625" style="22"/>
    <col min="10498" max="10498" width="37.7109375" style="22" customWidth="1"/>
    <col min="10499" max="10500" width="14.28515625" style="22" customWidth="1"/>
    <col min="10501" max="10501" width="13.5703125" style="22" customWidth="1"/>
    <col min="10502" max="10502" width="15.7109375" style="22" customWidth="1"/>
    <col min="10503" max="10503" width="15.5703125" style="22" customWidth="1"/>
    <col min="10504" max="10753" width="9.28515625" style="22"/>
    <col min="10754" max="10754" width="37.7109375" style="22" customWidth="1"/>
    <col min="10755" max="10756" width="14.28515625" style="22" customWidth="1"/>
    <col min="10757" max="10757" width="13.5703125" style="22" customWidth="1"/>
    <col min="10758" max="10758" width="15.7109375" style="22" customWidth="1"/>
    <col min="10759" max="10759" width="15.5703125" style="22" customWidth="1"/>
    <col min="10760" max="11009" width="9.28515625" style="22"/>
    <col min="11010" max="11010" width="37.7109375" style="22" customWidth="1"/>
    <col min="11011" max="11012" width="14.28515625" style="22" customWidth="1"/>
    <col min="11013" max="11013" width="13.5703125" style="22" customWidth="1"/>
    <col min="11014" max="11014" width="15.7109375" style="22" customWidth="1"/>
    <col min="11015" max="11015" width="15.5703125" style="22" customWidth="1"/>
    <col min="11016" max="11265" width="9.28515625" style="22"/>
    <col min="11266" max="11266" width="37.7109375" style="22" customWidth="1"/>
    <col min="11267" max="11268" width="14.28515625" style="22" customWidth="1"/>
    <col min="11269" max="11269" width="13.5703125" style="22" customWidth="1"/>
    <col min="11270" max="11270" width="15.7109375" style="22" customWidth="1"/>
    <col min="11271" max="11271" width="15.5703125" style="22" customWidth="1"/>
    <col min="11272" max="11521" width="9.28515625" style="22"/>
    <col min="11522" max="11522" width="37.7109375" style="22" customWidth="1"/>
    <col min="11523" max="11524" width="14.28515625" style="22" customWidth="1"/>
    <col min="11525" max="11525" width="13.5703125" style="22" customWidth="1"/>
    <col min="11526" max="11526" width="15.7109375" style="22" customWidth="1"/>
    <col min="11527" max="11527" width="15.5703125" style="22" customWidth="1"/>
    <col min="11528" max="11777" width="9.28515625" style="22"/>
    <col min="11778" max="11778" width="37.7109375" style="22" customWidth="1"/>
    <col min="11779" max="11780" width="14.28515625" style="22" customWidth="1"/>
    <col min="11781" max="11781" width="13.5703125" style="22" customWidth="1"/>
    <col min="11782" max="11782" width="15.7109375" style="22" customWidth="1"/>
    <col min="11783" max="11783" width="15.5703125" style="22" customWidth="1"/>
    <col min="11784" max="12033" width="9.28515625" style="22"/>
    <col min="12034" max="12034" width="37.7109375" style="22" customWidth="1"/>
    <col min="12035" max="12036" width="14.28515625" style="22" customWidth="1"/>
    <col min="12037" max="12037" width="13.5703125" style="22" customWidth="1"/>
    <col min="12038" max="12038" width="15.7109375" style="22" customWidth="1"/>
    <col min="12039" max="12039" width="15.5703125" style="22" customWidth="1"/>
    <col min="12040" max="12289" width="9.28515625" style="22"/>
    <col min="12290" max="12290" width="37.7109375" style="22" customWidth="1"/>
    <col min="12291" max="12292" width="14.28515625" style="22" customWidth="1"/>
    <col min="12293" max="12293" width="13.5703125" style="22" customWidth="1"/>
    <col min="12294" max="12294" width="15.7109375" style="22" customWidth="1"/>
    <col min="12295" max="12295" width="15.5703125" style="22" customWidth="1"/>
    <col min="12296" max="12545" width="9.28515625" style="22"/>
    <col min="12546" max="12546" width="37.7109375" style="22" customWidth="1"/>
    <col min="12547" max="12548" width="14.28515625" style="22" customWidth="1"/>
    <col min="12549" max="12549" width="13.5703125" style="22" customWidth="1"/>
    <col min="12550" max="12550" width="15.7109375" style="22" customWidth="1"/>
    <col min="12551" max="12551" width="15.5703125" style="22" customWidth="1"/>
    <col min="12552" max="12801" width="9.28515625" style="22"/>
    <col min="12802" max="12802" width="37.7109375" style="22" customWidth="1"/>
    <col min="12803" max="12804" width="14.28515625" style="22" customWidth="1"/>
    <col min="12805" max="12805" width="13.5703125" style="22" customWidth="1"/>
    <col min="12806" max="12806" width="15.7109375" style="22" customWidth="1"/>
    <col min="12807" max="12807" width="15.5703125" style="22" customWidth="1"/>
    <col min="12808" max="13057" width="9.28515625" style="22"/>
    <col min="13058" max="13058" width="37.7109375" style="22" customWidth="1"/>
    <col min="13059" max="13060" width="14.28515625" style="22" customWidth="1"/>
    <col min="13061" max="13061" width="13.5703125" style="22" customWidth="1"/>
    <col min="13062" max="13062" width="15.7109375" style="22" customWidth="1"/>
    <col min="13063" max="13063" width="15.5703125" style="22" customWidth="1"/>
    <col min="13064" max="13313" width="9.28515625" style="22"/>
    <col min="13314" max="13314" width="37.7109375" style="22" customWidth="1"/>
    <col min="13315" max="13316" width="14.28515625" style="22" customWidth="1"/>
    <col min="13317" max="13317" width="13.5703125" style="22" customWidth="1"/>
    <col min="13318" max="13318" width="15.7109375" style="22" customWidth="1"/>
    <col min="13319" max="13319" width="15.5703125" style="22" customWidth="1"/>
    <col min="13320" max="13569" width="9.28515625" style="22"/>
    <col min="13570" max="13570" width="37.7109375" style="22" customWidth="1"/>
    <col min="13571" max="13572" width="14.28515625" style="22" customWidth="1"/>
    <col min="13573" max="13573" width="13.5703125" style="22" customWidth="1"/>
    <col min="13574" max="13574" width="15.7109375" style="22" customWidth="1"/>
    <col min="13575" max="13575" width="15.5703125" style="22" customWidth="1"/>
    <col min="13576" max="13825" width="9.28515625" style="22"/>
    <col min="13826" max="13826" width="37.7109375" style="22" customWidth="1"/>
    <col min="13827" max="13828" width="14.28515625" style="22" customWidth="1"/>
    <col min="13829" max="13829" width="13.5703125" style="22" customWidth="1"/>
    <col min="13830" max="13830" width="15.7109375" style="22" customWidth="1"/>
    <col min="13831" max="13831" width="15.5703125" style="22" customWidth="1"/>
    <col min="13832" max="14081" width="9.28515625" style="22"/>
    <col min="14082" max="14082" width="37.7109375" style="22" customWidth="1"/>
    <col min="14083" max="14084" width="14.28515625" style="22" customWidth="1"/>
    <col min="14085" max="14085" width="13.5703125" style="22" customWidth="1"/>
    <col min="14086" max="14086" width="15.7109375" style="22" customWidth="1"/>
    <col min="14087" max="14087" width="15.5703125" style="22" customWidth="1"/>
    <col min="14088" max="14337" width="9.28515625" style="22"/>
    <col min="14338" max="14338" width="37.7109375" style="22" customWidth="1"/>
    <col min="14339" max="14340" width="14.28515625" style="22" customWidth="1"/>
    <col min="14341" max="14341" width="13.5703125" style="22" customWidth="1"/>
    <col min="14342" max="14342" width="15.7109375" style="22" customWidth="1"/>
    <col min="14343" max="14343" width="15.5703125" style="22" customWidth="1"/>
    <col min="14344" max="14593" width="9.28515625" style="22"/>
    <col min="14594" max="14594" width="37.7109375" style="22" customWidth="1"/>
    <col min="14595" max="14596" width="14.28515625" style="22" customWidth="1"/>
    <col min="14597" max="14597" width="13.5703125" style="22" customWidth="1"/>
    <col min="14598" max="14598" width="15.7109375" style="22" customWidth="1"/>
    <col min="14599" max="14599" width="15.5703125" style="22" customWidth="1"/>
    <col min="14600" max="14849" width="9.28515625" style="22"/>
    <col min="14850" max="14850" width="37.7109375" style="22" customWidth="1"/>
    <col min="14851" max="14852" width="14.28515625" style="22" customWidth="1"/>
    <col min="14853" max="14853" width="13.5703125" style="22" customWidth="1"/>
    <col min="14854" max="14854" width="15.7109375" style="22" customWidth="1"/>
    <col min="14855" max="14855" width="15.5703125" style="22" customWidth="1"/>
    <col min="14856" max="15105" width="9.28515625" style="22"/>
    <col min="15106" max="15106" width="37.7109375" style="22" customWidth="1"/>
    <col min="15107" max="15108" width="14.28515625" style="22" customWidth="1"/>
    <col min="15109" max="15109" width="13.5703125" style="22" customWidth="1"/>
    <col min="15110" max="15110" width="15.7109375" style="22" customWidth="1"/>
    <col min="15111" max="15111" width="15.5703125" style="22" customWidth="1"/>
    <col min="15112" max="15361" width="9.28515625" style="22"/>
    <col min="15362" max="15362" width="37.7109375" style="22" customWidth="1"/>
    <col min="15363" max="15364" width="14.28515625" style="22" customWidth="1"/>
    <col min="15365" max="15365" width="13.5703125" style="22" customWidth="1"/>
    <col min="15366" max="15366" width="15.7109375" style="22" customWidth="1"/>
    <col min="15367" max="15367" width="15.5703125" style="22" customWidth="1"/>
    <col min="15368" max="15617" width="9.28515625" style="22"/>
    <col min="15618" max="15618" width="37.7109375" style="22" customWidth="1"/>
    <col min="15619" max="15620" width="14.28515625" style="22" customWidth="1"/>
    <col min="15621" max="15621" width="13.5703125" style="22" customWidth="1"/>
    <col min="15622" max="15622" width="15.7109375" style="22" customWidth="1"/>
    <col min="15623" max="15623" width="15.5703125" style="22" customWidth="1"/>
    <col min="15624" max="15873" width="9.28515625" style="22"/>
    <col min="15874" max="15874" width="37.7109375" style="22" customWidth="1"/>
    <col min="15875" max="15876" width="14.28515625" style="22" customWidth="1"/>
    <col min="15877" max="15877" width="13.5703125" style="22" customWidth="1"/>
    <col min="15878" max="15878" width="15.7109375" style="22" customWidth="1"/>
    <col min="15879" max="15879" width="15.5703125" style="22" customWidth="1"/>
    <col min="15880" max="16129" width="9.28515625" style="22"/>
    <col min="16130" max="16130" width="37.7109375" style="22" customWidth="1"/>
    <col min="16131" max="16132" width="14.28515625" style="22" customWidth="1"/>
    <col min="16133" max="16133" width="13.5703125" style="22" customWidth="1"/>
    <col min="16134" max="16134" width="15.7109375" style="22" customWidth="1"/>
    <col min="16135" max="16135" width="15.5703125" style="22" customWidth="1"/>
    <col min="16136" max="16384" width="9.28515625" style="22"/>
  </cols>
  <sheetData>
    <row r="1" spans="1:7" ht="30" customHeight="1" x14ac:dyDescent="0.25"/>
    <row r="2" spans="1:7" ht="39" customHeight="1" x14ac:dyDescent="0.35">
      <c r="A2" s="7" t="str">
        <f>'Teine 40'!A2</f>
        <v>Koolilõuna 02.10-06.10.2023</v>
      </c>
      <c r="B2" s="95"/>
      <c r="C2" s="10" t="s">
        <v>66</v>
      </c>
      <c r="D2" s="11"/>
    </row>
    <row r="3" spans="1:7" ht="24" customHeight="1" x14ac:dyDescent="0.25">
      <c r="A3" s="61" t="s">
        <v>1</v>
      </c>
      <c r="B3" s="88"/>
      <c r="C3" s="70" t="s">
        <v>2</v>
      </c>
      <c r="D3" s="70" t="s">
        <v>3</v>
      </c>
      <c r="E3" s="70" t="s">
        <v>4</v>
      </c>
      <c r="F3" s="70" t="s">
        <v>5</v>
      </c>
      <c r="G3" s="70" t="s">
        <v>6</v>
      </c>
    </row>
    <row r="4" spans="1:7" ht="17.25" customHeight="1" x14ac:dyDescent="0.25">
      <c r="A4" s="71" t="s">
        <v>7</v>
      </c>
      <c r="B4" s="213" t="str">
        <f>'Teine 40'!B4</f>
        <v>Küpsetatud kanakitsuliha (portsjon)</v>
      </c>
      <c r="C4" s="72">
        <v>50</v>
      </c>
      <c r="D4" s="191">
        <f>(C4/'Teine 40'!C4)*'Teine 40'!D4</f>
        <v>99.6</v>
      </c>
      <c r="E4" s="191">
        <f>(D4/'Teine 40'!D4)*'Teine 40'!E4</f>
        <v>0.68</v>
      </c>
      <c r="F4" s="191">
        <f>(E4/'Teine 40'!E4)*'Teine 40'!F4</f>
        <v>4.26</v>
      </c>
      <c r="G4" s="191">
        <f>(F4/'Teine 40'!F4)*'Teine 40'!G4</f>
        <v>14.46</v>
      </c>
    </row>
    <row r="5" spans="1:7" ht="17.25" customHeight="1" x14ac:dyDescent="0.25">
      <c r="A5" s="71"/>
      <c r="B5" s="213" t="str">
        <f>'Teine 40'!B5</f>
        <v>Hautatud sealiha</v>
      </c>
      <c r="C5" s="72">
        <v>50</v>
      </c>
      <c r="D5" s="191">
        <f>(C5/'Teine 40'!C5)*'Teine 40'!D5</f>
        <v>119</v>
      </c>
      <c r="E5" s="191">
        <f>(D5/'Teine 40'!D5)*'Teine 40'!E5</f>
        <v>0.2</v>
      </c>
      <c r="F5" s="191">
        <v>7.3</v>
      </c>
      <c r="G5" s="191">
        <f>(F5/'Teine 40'!F5)*'Teine 40'!G5</f>
        <v>13.3</v>
      </c>
    </row>
    <row r="6" spans="1:7" x14ac:dyDescent="0.25">
      <c r="A6" s="59"/>
      <c r="B6" s="213" t="str">
        <f>'Teine 40'!B6</f>
        <v>Magushapus kaste</v>
      </c>
      <c r="C6" s="73">
        <v>50</v>
      </c>
      <c r="D6" s="191">
        <f>(C6/'Teine 40'!C6)*'Teine 40'!D6</f>
        <v>38.299999999999997</v>
      </c>
      <c r="E6" s="191">
        <f>(D6/'Teine 40'!D6)*'Teine 40'!E6</f>
        <v>9.25</v>
      </c>
      <c r="F6" s="191">
        <f>(E6/'Teine 40'!E6)*'Teine 40'!F6</f>
        <v>0.01</v>
      </c>
      <c r="G6" s="191">
        <v>0.25</v>
      </c>
    </row>
    <row r="7" spans="1:7" s="41" customFormat="1" x14ac:dyDescent="0.25">
      <c r="A7" s="59"/>
      <c r="B7" s="213" t="str">
        <f>'Teine 40'!B7</f>
        <v>Täisterapasta/pasta (G)</v>
      </c>
      <c r="C7" s="72">
        <v>50</v>
      </c>
      <c r="D7" s="191">
        <f>(C7/'Teine 40'!C7)*'Teine 40'!D7</f>
        <v>89.46</v>
      </c>
      <c r="E7" s="191">
        <f>(D7/'Teine 40'!D7)*'Teine 40'!E7</f>
        <v>17.047000000000001</v>
      </c>
      <c r="F7" s="191">
        <f>(E7/'Teine 40'!E7)*'Teine 40'!F7</f>
        <v>0.7</v>
      </c>
      <c r="G7" s="191">
        <f>(F7/'Teine 40'!F7)*'Teine 40'!G7</f>
        <v>3.3014999999999999</v>
      </c>
    </row>
    <row r="8" spans="1:7" x14ac:dyDescent="0.25">
      <c r="A8" s="59"/>
      <c r="B8" s="213" t="str">
        <f>'Teine 40'!B8</f>
        <v>Riis, aurutatud</v>
      </c>
      <c r="C8" s="72">
        <v>50</v>
      </c>
      <c r="D8" s="191">
        <f>(C8/'Teine 40'!C8)*'Teine 40'!D8</f>
        <v>64.61</v>
      </c>
      <c r="E8" s="191">
        <f>(D8/'Teine 40'!D8)*'Teine 40'!E8</f>
        <v>14.31</v>
      </c>
      <c r="F8" s="191">
        <f>(E8/'Teine 40'!E8)*'Teine 40'!F8</f>
        <v>0.127</v>
      </c>
      <c r="G8" s="191">
        <f>(F8/'Teine 40'!F8)*'Teine 40'!G8</f>
        <v>1.4697</v>
      </c>
    </row>
    <row r="9" spans="1:7" x14ac:dyDescent="0.25">
      <c r="A9" s="59"/>
      <c r="B9" s="213" t="str">
        <f>'Teine 40'!B9</f>
        <v>Kuskuss, aurutatud (G)</v>
      </c>
      <c r="C9" s="72">
        <v>50</v>
      </c>
      <c r="D9" s="191">
        <f>(C9/'Teine 40'!C9)*'Teine 40'!D9</f>
        <v>60.592857142857142</v>
      </c>
      <c r="E9" s="191">
        <f>(D9/'Teine 40'!D9)*'Teine 40'!E9</f>
        <v>12.535714285714286</v>
      </c>
      <c r="F9" s="191">
        <f>(E9/'Teine 40'!E9)*'Teine 40'!F9</f>
        <v>0.36428571428571432</v>
      </c>
      <c r="G9" s="191">
        <f>(F9/'Teine 40'!F9)*'Teine 40'!G9</f>
        <v>2.0642857142857145</v>
      </c>
    </row>
    <row r="10" spans="1:7" s="9" customFormat="1" x14ac:dyDescent="0.25">
      <c r="A10" s="56"/>
      <c r="B10" s="213" t="str">
        <f>'Teine 40'!B10</f>
        <v>Porgandi-ananassisalat</v>
      </c>
      <c r="C10" s="192">
        <v>25</v>
      </c>
      <c r="D10" s="191">
        <f>(C10/'Teine 40'!C10)*'Teine 40'!D10</f>
        <v>11.324999999999999</v>
      </c>
      <c r="E10" s="191">
        <f>(D10/'Teine 40'!D10)*'Teine 40'!E10</f>
        <v>2.16</v>
      </c>
      <c r="F10" s="191">
        <f>(E10/'Teine 40'!E10)*'Teine 40'!F10</f>
        <v>0.38500000000000001</v>
      </c>
      <c r="G10" s="191">
        <f>(F10/'Teine 40'!F10)*'Teine 40'!G10</f>
        <v>0.14499999999999999</v>
      </c>
    </row>
    <row r="11" spans="1:7" s="9" customFormat="1" x14ac:dyDescent="0.25">
      <c r="A11" s="56"/>
      <c r="B11" s="213" t="str">
        <f>'Teine 40'!B11</f>
        <v>Punane kapsas, mais, juurseller (röstitu)</v>
      </c>
      <c r="C11" s="192">
        <v>25</v>
      </c>
      <c r="D11" s="191">
        <f>(C11/'Teine 40'!C11)*'Teine 40'!D11</f>
        <v>16.175000000000001</v>
      </c>
      <c r="E11" s="191">
        <f>(D11/'Teine 40'!D11)*'Teine 40'!E11</f>
        <v>2.2650000000000001</v>
      </c>
      <c r="F11" s="191">
        <f>(E11/'Teine 40'!E11)*'Teine 40'!F11</f>
        <v>0.47</v>
      </c>
      <c r="G11" s="191">
        <f>(F11/'Teine 40'!F11)*'Teine 40'!G11</f>
        <v>0.46</v>
      </c>
    </row>
    <row r="12" spans="1:7" s="9" customFormat="1" x14ac:dyDescent="0.25">
      <c r="A12" s="56"/>
      <c r="B12" s="213" t="str">
        <f>'Teine 40'!B12</f>
        <v>Salatikaste</v>
      </c>
      <c r="C12" s="23">
        <v>5</v>
      </c>
      <c r="D12" s="191">
        <f>(C12/'Teine 40'!C12)*'Teine 40'!D12</f>
        <v>35.25</v>
      </c>
      <c r="E12" s="191">
        <f>(D12/'Teine 40'!D12)*'Teine 40'!E12</f>
        <v>0.03</v>
      </c>
      <c r="F12" s="191">
        <f>(E12/'Teine 40'!E12)*'Teine 40'!F12</f>
        <v>3.9</v>
      </c>
      <c r="G12" s="191">
        <f>(F12/'Teine 40'!F12)*'Teine 40'!G12</f>
        <v>0.01</v>
      </c>
    </row>
    <row r="13" spans="1:7" x14ac:dyDescent="0.25">
      <c r="A13" s="59"/>
      <c r="B13" s="213" t="str">
        <f>'Teine 40'!B13</f>
        <v>Seemnesegu</v>
      </c>
      <c r="C13" s="20">
        <v>15</v>
      </c>
      <c r="D13" s="191">
        <f>(C13/'Teine 40'!C13)*'Teine 40'!D13</f>
        <v>91.65</v>
      </c>
      <c r="E13" s="191">
        <f>(D13/'Teine 40'!D13)*'Teine 40'!E13</f>
        <v>2.13</v>
      </c>
      <c r="F13" s="191">
        <f>(E13/'Teine 40'!E13)*'Teine 40'!F13</f>
        <v>8.0399999999999991</v>
      </c>
      <c r="G13" s="191">
        <f>(F13/'Teine 40'!F13)*'Teine 40'!G13</f>
        <v>3.36</v>
      </c>
    </row>
    <row r="14" spans="1:7" x14ac:dyDescent="0.25">
      <c r="A14" s="59"/>
      <c r="B14" s="213" t="str">
        <f>'Teine 40'!B14</f>
        <v>PRIA Piimatooted (piim, keefir ) (L)</v>
      </c>
      <c r="C14" s="20">
        <v>100</v>
      </c>
      <c r="D14" s="191"/>
      <c r="E14" s="191"/>
      <c r="F14" s="191"/>
      <c r="G14" s="191"/>
    </row>
    <row r="15" spans="1:7" x14ac:dyDescent="0.25">
      <c r="A15" s="59"/>
      <c r="B15" s="213" t="str">
        <f>'Teine 40'!B15</f>
        <v>Rukkileiva- ja sepikutoodete valik (G)</v>
      </c>
      <c r="C15" s="193">
        <v>40</v>
      </c>
      <c r="D15" s="191">
        <f>(C15/'Teine 40'!C15)*'Teine 40'!D15</f>
        <v>92</v>
      </c>
      <c r="E15" s="191">
        <f>(D15/'Teine 40'!D15)*'Teine 40'!E15</f>
        <v>19.680000000000003</v>
      </c>
      <c r="F15" s="191">
        <f>(E15/'Teine 40'!E15)*'Teine 40'!F15</f>
        <v>0.66400000000000003</v>
      </c>
      <c r="G15" s="191">
        <f>(F15/'Teine 40'!F15)*'Teine 40'!G15</f>
        <v>3.1520000000000001</v>
      </c>
    </row>
    <row r="16" spans="1:7" x14ac:dyDescent="0.25">
      <c r="A16" s="59"/>
      <c r="B16" s="213" t="str">
        <f>'Teine 40'!B16</f>
        <v xml:space="preserve">Õun (PRIA) </v>
      </c>
      <c r="C16" s="72">
        <v>100</v>
      </c>
      <c r="D16" s="191">
        <f>(C16/'Teine 40'!C16)*'Teine 40'!D16</f>
        <v>48.3</v>
      </c>
      <c r="E16" s="191">
        <f>(D16/'Teine 40'!D16)*'Teine 40'!E16</f>
        <v>10.9</v>
      </c>
      <c r="F16" s="191">
        <f>(E16/'Teine 40'!E16)*'Teine 40'!F16</f>
        <v>0</v>
      </c>
      <c r="G16" s="191">
        <v>0</v>
      </c>
    </row>
    <row r="17" spans="1:7" s="42" customFormat="1" x14ac:dyDescent="0.25">
      <c r="A17" s="65"/>
      <c r="B17" s="196" t="s">
        <v>8</v>
      </c>
      <c r="C17" s="253"/>
      <c r="D17" s="253">
        <f>SUM(D5:D16)</f>
        <v>666.66285714285709</v>
      </c>
      <c r="E17" s="253">
        <f t="shared" ref="E17:G17" si="0">SUM(E5:E16)</f>
        <v>90.5077142857143</v>
      </c>
      <c r="F17" s="253">
        <f t="shared" si="0"/>
        <v>21.960285714285718</v>
      </c>
      <c r="G17" s="253">
        <f t="shared" si="0"/>
        <v>27.512485714285717</v>
      </c>
    </row>
    <row r="18" spans="1:7" x14ac:dyDescent="0.25">
      <c r="A18" s="14" t="s">
        <v>79</v>
      </c>
      <c r="B18" s="10" t="s">
        <v>80</v>
      </c>
      <c r="C18" s="276">
        <v>120</v>
      </c>
      <c r="D18" s="262">
        <f>0.86*129.92</f>
        <v>111.73119999999999</v>
      </c>
      <c r="E18" s="262">
        <f>0.86*18.34</f>
        <v>15.772399999999999</v>
      </c>
      <c r="F18" s="262">
        <f>0.86*3.892</f>
        <v>3.3471199999999999</v>
      </c>
      <c r="G18" s="262">
        <f>0.86*4.312</f>
        <v>3.7083200000000001</v>
      </c>
    </row>
    <row r="19" spans="1:7" ht="24" customHeight="1" x14ac:dyDescent="0.25">
      <c r="A19" s="61" t="s">
        <v>9</v>
      </c>
      <c r="B19" s="88"/>
      <c r="C19" s="70" t="s">
        <v>2</v>
      </c>
      <c r="D19" s="70" t="s">
        <v>3</v>
      </c>
      <c r="E19" s="70" t="s">
        <v>4</v>
      </c>
      <c r="F19" s="70" t="s">
        <v>5</v>
      </c>
      <c r="G19" s="70" t="s">
        <v>6</v>
      </c>
    </row>
    <row r="20" spans="1:7" x14ac:dyDescent="0.25">
      <c r="A20" s="71" t="s">
        <v>7</v>
      </c>
      <c r="B20" s="213" t="str">
        <f>'Teine 40'!B20</f>
        <v>Rassolnik sealihaga (G)</v>
      </c>
      <c r="C20" s="72">
        <v>100</v>
      </c>
      <c r="D20" s="191">
        <f>(C20/'Teine 40'!C20)*'Teine 40'!D20</f>
        <v>72.100000000000009</v>
      </c>
      <c r="E20" s="191">
        <f>(D20/'Teine 40'!D20)*'Teine 40'!E20</f>
        <v>10.100000000000001</v>
      </c>
      <c r="F20" s="191">
        <f>(E20/'Teine 40'!E20)*'Teine 40'!F20</f>
        <v>2.3920000000000008</v>
      </c>
      <c r="G20" s="191">
        <f>(F20/'Teine 40'!F20)*'Teine 40'!G20</f>
        <v>1.5560000000000003</v>
      </c>
    </row>
    <row r="21" spans="1:7" x14ac:dyDescent="0.25">
      <c r="A21" s="71"/>
      <c r="B21" s="213" t="str">
        <f>'Teine 40'!B21</f>
        <v>Tomatine läätsesupp veiselihaga</v>
      </c>
      <c r="C21" s="72">
        <v>100</v>
      </c>
      <c r="D21" s="191">
        <f>(C21/'Teine 40'!C21)*'Teine 40'!D21</f>
        <v>90</v>
      </c>
      <c r="E21" s="191">
        <f>(D21/'Teine 40'!D21)*'Teine 40'!E21</f>
        <v>12.740000000000002</v>
      </c>
      <c r="F21" s="191">
        <f>(E21/'Teine 40'!E21)*'Teine 40'!F21</f>
        <v>4.5600000000000005</v>
      </c>
      <c r="G21" s="191">
        <f>(F21/'Teine 40'!F21)*'Teine 40'!G21</f>
        <v>3.74</v>
      </c>
    </row>
    <row r="22" spans="1:7" x14ac:dyDescent="0.25">
      <c r="A22" s="59"/>
      <c r="B22" s="213" t="str">
        <f>'Teine 40'!B22</f>
        <v>Hapukoor (L)</v>
      </c>
      <c r="C22" s="72">
        <v>10</v>
      </c>
      <c r="D22" s="191">
        <f>(C22/'Teine 40'!C22)*'Teine 40'!D22</f>
        <v>22.2</v>
      </c>
      <c r="E22" s="191">
        <f>(D22/'Teine 40'!D22)*'Teine 40'!E22</f>
        <v>0.38</v>
      </c>
      <c r="F22" s="191">
        <f>(E22/'Teine 40'!E22)*'Teine 40'!F22</f>
        <v>2.15</v>
      </c>
      <c r="G22" s="191">
        <f>(F22/'Teine 40'!F22)*'Teine 40'!G22</f>
        <v>0.33</v>
      </c>
    </row>
    <row r="23" spans="1:7" x14ac:dyDescent="0.25">
      <c r="A23" s="59"/>
      <c r="B23" s="213" t="str">
        <f>'Teine 40'!B23</f>
        <v>Kohupiimakreem mustikakisselliga (L)</v>
      </c>
      <c r="C23" s="195">
        <v>160</v>
      </c>
      <c r="D23" s="191">
        <f>(C23/'Teine 40'!C23)*'Teine 40'!D23</f>
        <v>218.2</v>
      </c>
      <c r="E23" s="191">
        <f>(D23/'Teine 40'!D23)*'Teine 40'!E23</f>
        <v>23.9</v>
      </c>
      <c r="F23" s="191">
        <f>(E23/'Teine 40'!E23)*'Teine 40'!F23</f>
        <v>8.31</v>
      </c>
      <c r="G23" s="191">
        <f>(F23/'Teine 40'!F23)*'Teine 40'!G23</f>
        <v>5.2</v>
      </c>
    </row>
    <row r="24" spans="1:7" x14ac:dyDescent="0.25">
      <c r="A24" s="59"/>
      <c r="B24" s="213" t="str">
        <f>'Teine 40'!B24</f>
        <v>PRIA Piimatooted (piim, keefir) (L)</v>
      </c>
      <c r="C24" s="193">
        <v>100</v>
      </c>
      <c r="D24" s="191"/>
      <c r="E24" s="191"/>
      <c r="F24" s="191"/>
      <c r="G24" s="191"/>
    </row>
    <row r="25" spans="1:7" x14ac:dyDescent="0.25">
      <c r="A25" s="287"/>
      <c r="B25" s="213" t="str">
        <f>'Teine 40'!B25</f>
        <v>Rukkileiva- ja sepikutoodete valik (G)</v>
      </c>
      <c r="C25" s="21">
        <v>40</v>
      </c>
      <c r="D25" s="191">
        <f>(C25/'Teine 40'!C25)*'Teine 40'!D25</f>
        <v>92</v>
      </c>
      <c r="E25" s="191">
        <f>(D25/'Teine 40'!D25)*'Teine 40'!E25</f>
        <v>19.680000000000003</v>
      </c>
      <c r="F25" s="191">
        <f>(E25/'Teine 40'!E25)*'Teine 40'!F25</f>
        <v>0.66400000000000003</v>
      </c>
      <c r="G25" s="191">
        <f>(F25/'Teine 40'!F25)*'Teine 40'!G25</f>
        <v>3.1520000000000001</v>
      </c>
    </row>
    <row r="26" spans="1:7" x14ac:dyDescent="0.25">
      <c r="A26" s="71"/>
      <c r="B26" s="213" t="str">
        <f>'Teine 40'!B26</f>
        <v>Kaalikas (PRIA)</v>
      </c>
      <c r="C26" s="72">
        <v>100</v>
      </c>
      <c r="D26" s="191">
        <f>(C26/'Teine 40'!C26)*'Teine 40'!D26</f>
        <v>35.6</v>
      </c>
      <c r="E26" s="191">
        <f>(D26/'Teine 40'!D26)*'Teine 40'!E26</f>
        <v>6.22</v>
      </c>
      <c r="F26" s="191">
        <f>(E26/'Teine 40'!E26)*'Teine 40'!F26</f>
        <v>0.1</v>
      </c>
      <c r="G26" s="191">
        <f>(F26/'Teine 40'!F26)*'Teine 40'!G26</f>
        <v>1.1000000000000001</v>
      </c>
    </row>
    <row r="27" spans="1:7" s="42" customFormat="1" x14ac:dyDescent="0.25">
      <c r="A27" s="65"/>
      <c r="B27" s="196" t="s">
        <v>8</v>
      </c>
      <c r="C27" s="253"/>
      <c r="D27" s="253">
        <f>SUM(D20:D26)</f>
        <v>530.1</v>
      </c>
      <c r="E27" s="253">
        <f>SUM(E20:E26)</f>
        <v>73.02000000000001</v>
      </c>
      <c r="F27" s="253">
        <f>SUM(F20:F26)</f>
        <v>18.176000000000005</v>
      </c>
      <c r="G27" s="253">
        <f>SUM(G20:G26)</f>
        <v>15.078000000000001</v>
      </c>
    </row>
    <row r="28" spans="1:7" x14ac:dyDescent="0.25">
      <c r="A28" s="14" t="s">
        <v>79</v>
      </c>
      <c r="B28" s="10" t="s">
        <v>81</v>
      </c>
      <c r="C28" s="276">
        <v>200</v>
      </c>
      <c r="D28" s="26">
        <f>0.8*175.249</f>
        <v>140.19919999999999</v>
      </c>
      <c r="E28" s="26">
        <f>0.8*24.005</f>
        <v>19.204000000000001</v>
      </c>
      <c r="F28" s="26">
        <f>0.8*5.1688</f>
        <v>4.13504</v>
      </c>
      <c r="G28" s="26">
        <f>0.8*5.6942</f>
        <v>4.5553600000000003</v>
      </c>
    </row>
    <row r="29" spans="1:7" ht="24" customHeight="1" x14ac:dyDescent="0.25">
      <c r="A29" s="61" t="s">
        <v>10</v>
      </c>
      <c r="B29" s="88"/>
      <c r="C29" s="70" t="s">
        <v>2</v>
      </c>
      <c r="D29" s="70" t="s">
        <v>3</v>
      </c>
      <c r="E29" s="70" t="s">
        <v>4</v>
      </c>
      <c r="F29" s="70" t="s">
        <v>5</v>
      </c>
      <c r="G29" s="70" t="s">
        <v>6</v>
      </c>
    </row>
    <row r="30" spans="1:7" x14ac:dyDescent="0.25">
      <c r="A30" s="71" t="s">
        <v>7</v>
      </c>
      <c r="B30" s="212" t="str">
        <f>'Teine 40'!B30</f>
        <v>Maksastrooganov (L, G)</v>
      </c>
      <c r="C30" s="72">
        <v>60</v>
      </c>
      <c r="D30" s="191">
        <f>(C30/'Teine 40'!C30)*'Teine 40'!D30</f>
        <v>96</v>
      </c>
      <c r="E30" s="191">
        <f>(D30/'Teine 40'!D30)*'Teine 40'!E30</f>
        <v>10.739999999999998</v>
      </c>
      <c r="F30" s="191">
        <f>(E30/'Teine 40'!E30)*'Teine 40'!F30</f>
        <v>6.0042857142857136</v>
      </c>
      <c r="G30" s="191">
        <f>(F30/'Teine 40'!F30)*'Teine 40'!G30</f>
        <v>7.8171428571428558</v>
      </c>
    </row>
    <row r="31" spans="1:7" x14ac:dyDescent="0.25">
      <c r="A31" s="71"/>
      <c r="B31" s="212" t="str">
        <f>'Teine 40'!B31</f>
        <v>Kalkuni-köögiviljakaste ürtidega</v>
      </c>
      <c r="C31" s="72">
        <v>60</v>
      </c>
      <c r="D31" s="191">
        <f>(C31/'Teine 40'!C31)*'Teine 40'!D31</f>
        <v>87.63428571428571</v>
      </c>
      <c r="E31" s="191">
        <f>(D31/'Teine 40'!D31)*'Teine 40'!E31</f>
        <v>10.199999999999999</v>
      </c>
      <c r="F31" s="191">
        <f>(E31/'Teine 40'!E31)*'Teine 40'!F31</f>
        <v>5.9228571428571426</v>
      </c>
      <c r="G31" s="191">
        <f>(F31/'Teine 40'!F31)*'Teine 40'!G31</f>
        <v>4.9242857142857144</v>
      </c>
    </row>
    <row r="32" spans="1:7" x14ac:dyDescent="0.25">
      <c r="A32" s="59"/>
      <c r="B32" s="212" t="str">
        <f>'Teine 40'!B32</f>
        <v>Kartulipüree (L)</v>
      </c>
      <c r="C32" s="72">
        <v>100</v>
      </c>
      <c r="D32" s="191">
        <f>(C32/'Teine 40'!C32)*'Teine 40'!D32</f>
        <v>89.855999999999995</v>
      </c>
      <c r="E32" s="191">
        <f>(D32/'Teine 40'!D32)*'Teine 40'!E32</f>
        <v>14.413</v>
      </c>
      <c r="F32" s="191">
        <f>(E32/'Teine 40'!E32)*'Teine 40'!F32</f>
        <v>2.3572000000000002</v>
      </c>
      <c r="G32" s="191">
        <f>(F32/'Teine 40'!F32)*'Teine 40'!G32</f>
        <v>2.343</v>
      </c>
    </row>
    <row r="33" spans="1:7" x14ac:dyDescent="0.25">
      <c r="A33" s="59"/>
      <c r="B33" s="212" t="str">
        <f>'Teine 40'!B33</f>
        <v>Tatar, aurutatud</v>
      </c>
      <c r="C33" s="72">
        <v>50</v>
      </c>
      <c r="D33" s="191">
        <f>(C33/'Teine 40'!C33)*'Teine 40'!D33</f>
        <v>37.488</v>
      </c>
      <c r="E33" s="191">
        <f>(D33/'Teine 40'!D33)*'Teine 40'!E33</f>
        <v>8.6620000000000008</v>
      </c>
      <c r="F33" s="191">
        <f>(E33/'Teine 40'!E33)*'Teine 40'!F33</f>
        <v>4.9700000000000001E-2</v>
      </c>
      <c r="G33" s="191">
        <f>(F33/'Teine 40'!F33)*'Teine 40'!G33</f>
        <v>0.97270000000000001</v>
      </c>
    </row>
    <row r="34" spans="1:7" x14ac:dyDescent="0.25">
      <c r="A34" s="59"/>
      <c r="B34" s="212" t="str">
        <f>'Teine 40'!B34</f>
        <v>Kolme riisi segu, aurutatud</v>
      </c>
      <c r="C34" s="72">
        <v>50</v>
      </c>
      <c r="D34" s="191">
        <f>(C34/'Teine 40'!C34)*'Teine 40'!D34</f>
        <v>37.488</v>
      </c>
      <c r="E34" s="191">
        <f>(D34/'Teine 40'!D34)*'Teine 40'!E34</f>
        <v>8.6620000000000008</v>
      </c>
      <c r="F34" s="191">
        <f>(E34/'Teine 40'!E34)*'Teine 40'!F34</f>
        <v>4.9700000000000001E-2</v>
      </c>
      <c r="G34" s="191">
        <f>(F34/'Teine 40'!F34)*'Teine 40'!G34</f>
        <v>0.97270000000000001</v>
      </c>
    </row>
    <row r="35" spans="1:7" x14ac:dyDescent="0.25">
      <c r="A35" s="59"/>
      <c r="B35" s="212" t="str">
        <f>'Teine 40'!B35</f>
        <v>Peedisalat jõhvikatega</v>
      </c>
      <c r="C35" s="72">
        <v>25</v>
      </c>
      <c r="D35" s="191">
        <f>(C35/'Teine 40'!C35)*'Teine 40'!D35</f>
        <v>9.9250000000000007</v>
      </c>
      <c r="E35" s="191">
        <f>(D35/'Teine 40'!D35)*'Teine 40'!E35</f>
        <v>1.69</v>
      </c>
      <c r="F35" s="191">
        <f>(E35/'Teine 40'!E35)*'Teine 40'!F35</f>
        <v>0.05</v>
      </c>
      <c r="G35" s="191">
        <f>(F35/'Teine 40'!F35)*'Teine 40'!G35</f>
        <v>0.35499999999999998</v>
      </c>
    </row>
    <row r="36" spans="1:7" x14ac:dyDescent="0.25">
      <c r="A36" s="59"/>
      <c r="B36" s="212" t="str">
        <f>'Teine 40'!B36</f>
        <v>Porgand, Hiina kapsas, roheline hernes</v>
      </c>
      <c r="C36" s="72">
        <v>25</v>
      </c>
      <c r="D36" s="191">
        <f>(C36/'Teine 40'!C36)*'Teine 40'!D36</f>
        <v>10.199999999999999</v>
      </c>
      <c r="E36" s="191">
        <f>(D36/'Teine 40'!D36)*'Teine 40'!E36</f>
        <v>1.4350000000000001</v>
      </c>
      <c r="F36" s="191">
        <f>(E36/'Teine 40'!E36)*'Teine 40'!F36</f>
        <v>0.08</v>
      </c>
      <c r="G36" s="191">
        <f>(F36/'Teine 40'!F36)*'Teine 40'!G36</f>
        <v>0.5</v>
      </c>
    </row>
    <row r="37" spans="1:7" s="9" customFormat="1" x14ac:dyDescent="0.25">
      <c r="A37" s="56"/>
      <c r="B37" s="212" t="str">
        <f>'Teine 40'!B37</f>
        <v>Salatikaste</v>
      </c>
      <c r="C37" s="192">
        <v>5</v>
      </c>
      <c r="D37" s="191">
        <f>(C37/'Teine 40'!C37)*'Teine 40'!D37</f>
        <v>35.25</v>
      </c>
      <c r="E37" s="191">
        <f>(D37/'Teine 40'!D37)*'Teine 40'!E37</f>
        <v>0.03</v>
      </c>
      <c r="F37" s="191">
        <f>(E37/'Teine 40'!E37)*'Teine 40'!F37</f>
        <v>3.9</v>
      </c>
      <c r="G37" s="191">
        <f>(F37/'Teine 40'!F37)*'Teine 40'!G37</f>
        <v>0.01</v>
      </c>
    </row>
    <row r="38" spans="1:7" s="9" customFormat="1" x14ac:dyDescent="0.25">
      <c r="A38" s="56"/>
      <c r="B38" s="212" t="str">
        <f>'Teine 40'!B38</f>
        <v>Seemnesegu</v>
      </c>
      <c r="C38" s="192">
        <v>15</v>
      </c>
      <c r="D38" s="191">
        <f>(C38/'Teine 40'!C38)*'Teine 40'!D38</f>
        <v>91.65</v>
      </c>
      <c r="E38" s="191">
        <f>(D38/'Teine 40'!D38)*'Teine 40'!E38</f>
        <v>2.13</v>
      </c>
      <c r="F38" s="191">
        <f>(E38/'Teine 40'!E38)*'Teine 40'!F38</f>
        <v>8.0399999999999991</v>
      </c>
      <c r="G38" s="191">
        <f>(F38/'Teine 40'!F38)*'Teine 40'!G38</f>
        <v>3.36</v>
      </c>
    </row>
    <row r="39" spans="1:7" x14ac:dyDescent="0.25">
      <c r="A39" s="59"/>
      <c r="B39" s="212" t="str">
        <f>'Teine 40'!B39</f>
        <v>PRIA Piimatooted (piim, keefir) (L)</v>
      </c>
      <c r="C39" s="195">
        <v>100</v>
      </c>
      <c r="D39" s="191"/>
      <c r="E39" s="191"/>
      <c r="F39" s="191"/>
      <c r="G39" s="191"/>
    </row>
    <row r="40" spans="1:7" x14ac:dyDescent="0.25">
      <c r="A40" s="59"/>
      <c r="B40" s="212" t="str">
        <f>'Teine 40'!B40</f>
        <v>Rukkileiva- ja sepikutoodete valik (G)</v>
      </c>
      <c r="C40" s="193">
        <v>40</v>
      </c>
      <c r="D40" s="191">
        <f>(C40/'Teine 40'!C40)*'Teine 40'!D40</f>
        <v>92</v>
      </c>
      <c r="E40" s="191">
        <f>(D40/'Teine 40'!D40)*'Teine 40'!E40</f>
        <v>19.680000000000003</v>
      </c>
      <c r="F40" s="191">
        <f>(E40/'Teine 40'!E40)*'Teine 40'!F40</f>
        <v>0.66400000000000003</v>
      </c>
      <c r="G40" s="191">
        <f>(F40/'Teine 40'!F40)*'Teine 40'!G40</f>
        <v>3.1520000000000001</v>
      </c>
    </row>
    <row r="41" spans="1:7" x14ac:dyDescent="0.25">
      <c r="A41" s="58"/>
      <c r="B41" s="212" t="str">
        <f>'Teine 40'!B41</f>
        <v>Pirn (PRIA)</v>
      </c>
      <c r="C41" s="72">
        <v>100</v>
      </c>
      <c r="D41" s="191">
        <f>(C41/'Teine 40'!C41)*'Teine 40'!D41</f>
        <v>46.4</v>
      </c>
      <c r="E41" s="191">
        <f>(D41/'Teine 40'!D41)*'Teine 40'!E41</f>
        <v>10.199999999999999</v>
      </c>
      <c r="F41" s="191">
        <f>(E41/'Teine 40'!E41)*'Teine 40'!F41</f>
        <v>0</v>
      </c>
      <c r="G41" s="191">
        <v>0.3</v>
      </c>
    </row>
    <row r="42" spans="1:7" s="42" customFormat="1" x14ac:dyDescent="0.25">
      <c r="A42" s="65"/>
      <c r="B42" s="196" t="s">
        <v>8</v>
      </c>
      <c r="C42" s="253"/>
      <c r="D42" s="253">
        <f>SUM(D30:D41)</f>
        <v>633.89128571428569</v>
      </c>
      <c r="E42" s="253">
        <f>SUM(E30:E41)</f>
        <v>87.841999999999999</v>
      </c>
      <c r="F42" s="253">
        <f>SUM(F30:F41)</f>
        <v>27.117742857142858</v>
      </c>
      <c r="G42" s="253">
        <f>SUM(G30:G41)</f>
        <v>24.706828571428574</v>
      </c>
    </row>
    <row r="43" spans="1:7" x14ac:dyDescent="0.25">
      <c r="A43" s="14" t="s">
        <v>79</v>
      </c>
      <c r="B43" s="10" t="s">
        <v>133</v>
      </c>
      <c r="C43" s="276">
        <v>120</v>
      </c>
      <c r="D43" s="262">
        <f>0.86*176</f>
        <v>151.35999999999999</v>
      </c>
      <c r="E43" s="262">
        <f>0.86*4.6</f>
        <v>3.9559999999999995</v>
      </c>
      <c r="F43" s="262">
        <f>0.86*16.16</f>
        <v>13.897600000000001</v>
      </c>
      <c r="G43" s="262">
        <f>0.86*5.75</f>
        <v>4.9450000000000003</v>
      </c>
    </row>
    <row r="44" spans="1:7" ht="24" customHeight="1" x14ac:dyDescent="0.25">
      <c r="A44" s="61" t="s">
        <v>11</v>
      </c>
      <c r="B44" s="88"/>
      <c r="C44" s="70" t="s">
        <v>2</v>
      </c>
      <c r="D44" s="70" t="s">
        <v>3</v>
      </c>
      <c r="E44" s="70" t="s">
        <v>4</v>
      </c>
      <c r="F44" s="70" t="s">
        <v>5</v>
      </c>
      <c r="G44" s="70" t="s">
        <v>6</v>
      </c>
    </row>
    <row r="45" spans="1:7" x14ac:dyDescent="0.25">
      <c r="A45" s="367" t="s">
        <v>7</v>
      </c>
      <c r="B45" s="252" t="str">
        <f>'Teine 40'!B45</f>
        <v>Selge köögiviljasupp kalaga</v>
      </c>
      <c r="C45" s="74">
        <v>100</v>
      </c>
      <c r="D45" s="191">
        <f>(C45/'Teine 40'!C45)*'Teine 40'!D45</f>
        <v>84.800000000000011</v>
      </c>
      <c r="E45" s="191">
        <f>(D45/'Teine 40'!D45)*'Teine 40'!E45</f>
        <v>10.172000000000002</v>
      </c>
      <c r="F45" s="191">
        <f>(E45/'Teine 40'!E45)*'Teine 40'!F45</f>
        <v>3.8600000000000008</v>
      </c>
      <c r="G45" s="191">
        <f>(F45/'Teine 40'!F45)*'Teine 40'!G45</f>
        <v>5.4000000000000012</v>
      </c>
    </row>
    <row r="46" spans="1:7" x14ac:dyDescent="0.25">
      <c r="A46" s="71"/>
      <c r="B46" s="71" t="str">
        <f>'Teine 40'!B46</f>
        <v>Hapukoor (L)</v>
      </c>
      <c r="C46" s="366">
        <v>10</v>
      </c>
      <c r="D46" s="191">
        <f>(C46/'Teine 40'!C46)*'Teine 40'!D46</f>
        <v>22.2</v>
      </c>
      <c r="E46" s="191">
        <f>(D46/'Teine 40'!D46)*'Teine 40'!E46</f>
        <v>0.38</v>
      </c>
      <c r="F46" s="191">
        <f>(E46/'Teine 40'!E46)*'Teine 40'!F46</f>
        <v>2.15</v>
      </c>
      <c r="G46" s="191">
        <f>(F46/'Teine 40'!F46)*'Teine 40'!G46</f>
        <v>0.33</v>
      </c>
    </row>
    <row r="47" spans="1:7" s="9" customFormat="1" x14ac:dyDescent="0.25">
      <c r="A47" s="368"/>
      <c r="B47" s="369" t="str">
        <f>'Teine 40'!B47</f>
        <v>Koorene kanasupp kollase karriga (L)</v>
      </c>
      <c r="C47" s="192">
        <v>100</v>
      </c>
      <c r="D47" s="191">
        <f>(C47/'Teine 40'!C47)*'Teine 40'!D47</f>
        <v>83.896000000000015</v>
      </c>
      <c r="E47" s="191">
        <f>(D47/'Teine 40'!D47)*'Teine 40'!E47</f>
        <v>7.4840000000000018</v>
      </c>
      <c r="F47" s="191">
        <f>(E47/'Teine 40'!E47)*'Teine 40'!F47</f>
        <v>5.7800000000000011</v>
      </c>
      <c r="G47" s="191">
        <f>(F47/'Teine 40'!F47)*'Teine 40'!G47</f>
        <v>5.612000000000001</v>
      </c>
    </row>
    <row r="48" spans="1:7" ht="31.5" x14ac:dyDescent="0.25">
      <c r="A48" s="59"/>
      <c r="B48" s="212" t="str">
        <f>'Teine 40'!B48</f>
        <v>Kreeka jogurt banaani, kakao ja röstitud kaerahelvestega (L, G)</v>
      </c>
      <c r="C48" s="74">
        <v>160</v>
      </c>
      <c r="D48" s="191">
        <f>(C48/'Teine 40'!C48)*'Teine 40'!D48</f>
        <v>243.2</v>
      </c>
      <c r="E48" s="191">
        <f>(D48/'Teine 40'!D48)*'Teine 40'!E48</f>
        <v>31.52</v>
      </c>
      <c r="F48" s="191">
        <f>(E48/'Teine 40'!E48)*'Teine 40'!F48</f>
        <v>6.94</v>
      </c>
      <c r="G48" s="191">
        <f>(F48/'Teine 40'!F48)*'Teine 40'!G48</f>
        <v>11.63</v>
      </c>
    </row>
    <row r="49" spans="1:7" x14ac:dyDescent="0.25">
      <c r="A49" s="71"/>
      <c r="B49" s="213" t="str">
        <f>'Teine 40'!B49</f>
        <v>PRIA Piimatooted (piim, keefir) (L)</v>
      </c>
      <c r="C49" s="193">
        <v>100</v>
      </c>
      <c r="D49" s="191"/>
      <c r="E49" s="191"/>
      <c r="F49" s="191"/>
      <c r="G49" s="191"/>
    </row>
    <row r="50" spans="1:7" x14ac:dyDescent="0.25">
      <c r="A50" s="58"/>
      <c r="B50" s="213" t="str">
        <f>'Teine 40'!B50</f>
        <v>Rukkileiva- ja sepikutoodete valik (G)</v>
      </c>
      <c r="C50" s="72">
        <v>40</v>
      </c>
      <c r="D50" s="191">
        <f>(C50/'Teine 40'!C50)*'Teine 40'!D50</f>
        <v>92</v>
      </c>
      <c r="E50" s="191">
        <f>(D50/'Teine 40'!D50)*'Teine 40'!E50</f>
        <v>19.680000000000003</v>
      </c>
      <c r="F50" s="191">
        <f>(E50/'Teine 40'!E50)*'Teine 40'!F50</f>
        <v>0.66400000000000003</v>
      </c>
      <c r="G50" s="191">
        <f>(F50/'Teine 40'!F50)*'Teine 40'!G50</f>
        <v>3.1520000000000001</v>
      </c>
    </row>
    <row r="51" spans="1:7" x14ac:dyDescent="0.25">
      <c r="A51" s="58"/>
      <c r="B51" s="213" t="str">
        <f>'Teine 40'!B51</f>
        <v>Porgand (PRIA)</v>
      </c>
      <c r="C51" s="43">
        <v>100</v>
      </c>
      <c r="D51" s="191">
        <f>(C51/'Teine 40'!C51)*'Teine 40'!D51</f>
        <v>32.4</v>
      </c>
      <c r="E51" s="191">
        <f>(D51/'Teine 40'!D51)*'Teine 40'!E51</f>
        <v>5.6</v>
      </c>
      <c r="F51" s="191">
        <f>(E51/'Teine 40'!E51)*'Teine 40'!F51</f>
        <v>0.2</v>
      </c>
      <c r="G51" s="191">
        <f>(F51/'Teine 40'!F51)*'Teine 40'!G51</f>
        <v>0.6</v>
      </c>
    </row>
    <row r="52" spans="1:7" s="42" customFormat="1" x14ac:dyDescent="0.25">
      <c r="A52" s="65"/>
      <c r="B52" s="196" t="s">
        <v>8</v>
      </c>
      <c r="C52" s="253"/>
      <c r="D52" s="253">
        <f>SUM(D45:D50)</f>
        <v>526.096</v>
      </c>
      <c r="E52" s="253">
        <f>SUM(E45:E50)</f>
        <v>69.236000000000004</v>
      </c>
      <c r="F52" s="253">
        <f>SUM(F45:F50)</f>
        <v>19.394000000000005</v>
      </c>
      <c r="G52" s="253">
        <f>SUM(G45:G50)</f>
        <v>26.124000000000002</v>
      </c>
    </row>
    <row r="53" spans="1:7" x14ac:dyDescent="0.25">
      <c r="A53" s="14" t="s">
        <v>79</v>
      </c>
      <c r="B53" s="10" t="s">
        <v>82</v>
      </c>
      <c r="C53" s="276">
        <v>200</v>
      </c>
      <c r="D53" s="262">
        <f>0.8*257.42</f>
        <v>205.93600000000004</v>
      </c>
      <c r="E53" s="262">
        <f>0.8*20.69</f>
        <v>16.552000000000003</v>
      </c>
      <c r="F53" s="262">
        <f>0.8*12.07</f>
        <v>9.6560000000000006</v>
      </c>
      <c r="G53" s="262">
        <f>0.8*8.93</f>
        <v>7.1440000000000001</v>
      </c>
    </row>
    <row r="54" spans="1:7" ht="24" customHeight="1" x14ac:dyDescent="0.25">
      <c r="A54" s="61" t="s">
        <v>12</v>
      </c>
      <c r="B54" s="88"/>
      <c r="C54" s="70" t="s">
        <v>2</v>
      </c>
      <c r="D54" s="70" t="s">
        <v>3</v>
      </c>
      <c r="E54" s="70" t="s">
        <v>4</v>
      </c>
      <c r="F54" s="70" t="s">
        <v>5</v>
      </c>
      <c r="G54" s="70" t="s">
        <v>6</v>
      </c>
    </row>
    <row r="55" spans="1:7" ht="15.75" customHeight="1" x14ac:dyDescent="0.25">
      <c r="A55" s="59" t="s">
        <v>7</v>
      </c>
      <c r="B55" s="213" t="str">
        <f>'Teine 40'!B55</f>
        <v>Pilaff veiselihaga</v>
      </c>
      <c r="C55" s="74">
        <v>90</v>
      </c>
      <c r="D55" s="191">
        <f>(C55/'Teine 40'!C55)*'Teine 40'!D55</f>
        <v>147.6</v>
      </c>
      <c r="E55" s="191">
        <f>(D55/'Teine 40'!D55)*'Teine 40'!E55</f>
        <v>17.73</v>
      </c>
      <c r="F55" s="191">
        <f>(E55/'Teine 40'!E55)*'Teine 40'!F55</f>
        <v>5.6268000000000002</v>
      </c>
      <c r="G55" s="191">
        <f>(F55/'Teine 40'!F55)*'Teine 40'!G55</f>
        <v>6.1739999999999995</v>
      </c>
    </row>
    <row r="56" spans="1:7" ht="15.75" customHeight="1" x14ac:dyDescent="0.25">
      <c r="A56" s="59"/>
      <c r="B56" s="213" t="str">
        <f>'Teine 40'!B56</f>
        <v>Kana-suvikõrvitsa ahjupasta (G)</v>
      </c>
      <c r="C56" s="74">
        <v>90</v>
      </c>
      <c r="D56" s="191">
        <f>(C56/'Teine 40'!C56)*'Teine 40'!D56</f>
        <v>137.69999999999999</v>
      </c>
      <c r="E56" s="191">
        <f>(D56/'Teine 40'!D56)*'Teine 40'!E56</f>
        <v>23.58</v>
      </c>
      <c r="F56" s="191">
        <f>(E56/'Teine 40'!E56)*'Teine 40'!F56</f>
        <v>2.2589999999999999</v>
      </c>
      <c r="G56" s="191">
        <f>(F56/'Teine 40'!F56)*'Teine 40'!G56</f>
        <v>3.9887999999999999</v>
      </c>
    </row>
    <row r="57" spans="1:7" x14ac:dyDescent="0.25">
      <c r="A57" s="59"/>
      <c r="B57" s="213" t="str">
        <f>'Teine 40'!B57</f>
        <v>Ürdi-jogurtikaste (L)</v>
      </c>
      <c r="C57" s="72">
        <v>50</v>
      </c>
      <c r="D57" s="191">
        <f>(C57/'Teine 40'!C57)*'Teine 40'!D57</f>
        <v>63</v>
      </c>
      <c r="E57" s="191">
        <f>(D57/'Teine 40'!D57)*'Teine 40'!E57</f>
        <v>7.35</v>
      </c>
      <c r="F57" s="191">
        <f>(E57/'Teine 40'!E57)*'Teine 40'!F57</f>
        <v>3.18</v>
      </c>
      <c r="G57" s="191">
        <f>(F57/'Teine 40'!F57)*'Teine 40'!G57</f>
        <v>1.23</v>
      </c>
    </row>
    <row r="58" spans="1:7" x14ac:dyDescent="0.25">
      <c r="A58" s="59"/>
      <c r="B58" s="213" t="str">
        <f>'Teine 40'!B58</f>
        <v>Kapsa-kurgisalat tilliga</v>
      </c>
      <c r="C58" s="72">
        <v>25</v>
      </c>
      <c r="D58" s="191">
        <f>(C58/'Teine 40'!C58)*'Teine 40'!D58</f>
        <v>12.824999999999999</v>
      </c>
      <c r="E58" s="191">
        <f>(D58/'Teine 40'!D58)*'Teine 40'!E58</f>
        <v>1.0349999999999999</v>
      </c>
      <c r="F58" s="191">
        <f>(E58/'Teine 40'!E58)*'Teine 40'!F58</f>
        <v>0.8</v>
      </c>
      <c r="G58" s="191">
        <f>(F58/'Teine 40'!F58)*'Teine 40'!G58</f>
        <v>0.22</v>
      </c>
    </row>
    <row r="59" spans="1:7" x14ac:dyDescent="0.25">
      <c r="A59" s="59"/>
      <c r="B59" s="213" t="str">
        <f>'Teine 40'!B59</f>
        <v>Jääsalat, valged oad (keedetud) , kaalikas (röstitud)</v>
      </c>
      <c r="C59" s="72">
        <v>25</v>
      </c>
      <c r="D59" s="191">
        <f>(C59/'Teine 40'!C59)*'Teine 40'!D59</f>
        <v>19.55</v>
      </c>
      <c r="E59" s="191">
        <f>(D59/'Teine 40'!D59)*'Teine 40'!E59</f>
        <v>2.95</v>
      </c>
      <c r="F59" s="191">
        <f>(E59/'Teine 40'!E59)*'Teine 40'!F59</f>
        <v>4.9750000000000003E-2</v>
      </c>
      <c r="G59" s="191">
        <f>(F59/'Teine 40'!F59)*'Teine 40'!G59</f>
        <v>1.1274999999999999</v>
      </c>
    </row>
    <row r="60" spans="1:7" x14ac:dyDescent="0.25">
      <c r="A60" s="58"/>
      <c r="B60" s="213" t="str">
        <f>'Teine 40'!B60</f>
        <v>Salatikaste</v>
      </c>
      <c r="C60" s="72">
        <v>5</v>
      </c>
      <c r="D60" s="191">
        <f>(C60/'Teine 40'!C60)*'Teine 40'!D60</f>
        <v>35.25</v>
      </c>
      <c r="E60" s="191">
        <f>(D60/'Teine 40'!D60)*'Teine 40'!E60</f>
        <v>0.03</v>
      </c>
      <c r="F60" s="191">
        <f>(E60/'Teine 40'!E60)*'Teine 40'!F60</f>
        <v>3.9</v>
      </c>
      <c r="G60" s="191">
        <f>(F60/'Teine 40'!F60)*'Teine 40'!G60</f>
        <v>0.01</v>
      </c>
    </row>
    <row r="61" spans="1:7" x14ac:dyDescent="0.25">
      <c r="A61" s="58"/>
      <c r="B61" s="213" t="str">
        <f>'Teine 40'!B61</f>
        <v>Seemnesegu</v>
      </c>
      <c r="C61" s="43">
        <v>10</v>
      </c>
      <c r="D61" s="191">
        <f>(C61/'Teine 40'!C61)*'Teine 40'!D61</f>
        <v>61.099899999999998</v>
      </c>
      <c r="E61" s="191">
        <f>(D61/'Teine 40'!D61)*'Teine 40'!E61</f>
        <v>1.4198999999999999</v>
      </c>
      <c r="F61" s="191">
        <f>(E61/'Teine 40'!E61)*'Teine 40'!F61</f>
        <v>5.3598999999999997</v>
      </c>
      <c r="G61" s="191">
        <f>(F61/'Teine 40'!F61)*'Teine 40'!G61</f>
        <v>2.2399</v>
      </c>
    </row>
    <row r="62" spans="1:7" s="9" customFormat="1" x14ac:dyDescent="0.25">
      <c r="A62" s="56"/>
      <c r="B62" s="213" t="str">
        <f>'Teine 40'!B62</f>
        <v>PRIA Piimatooted (piim, keefir) (L)</v>
      </c>
      <c r="C62" s="192">
        <v>100</v>
      </c>
      <c r="D62" s="191"/>
      <c r="E62" s="191"/>
      <c r="F62" s="191"/>
      <c r="G62" s="191"/>
    </row>
    <row r="63" spans="1:7" s="9" customFormat="1" x14ac:dyDescent="0.25">
      <c r="A63" s="56"/>
      <c r="B63" s="213" t="str">
        <f>'Teine 40'!B63</f>
        <v>Kama-marja smuuti (L, G)</v>
      </c>
      <c r="C63" s="192">
        <v>100</v>
      </c>
      <c r="D63" s="191">
        <f>(C63/'Teine 40'!C63)*'Teine 40'!D63</f>
        <v>71</v>
      </c>
      <c r="E63" s="191">
        <f>(D63/'Teine 40'!D63)*'Teine 40'!E63</f>
        <v>19.2</v>
      </c>
      <c r="F63" s="191">
        <f>(E63/'Teine 40'!E63)*'Teine 40'!F63</f>
        <v>1.83</v>
      </c>
      <c r="G63" s="191">
        <f>(F63/'Teine 40'!F63)*'Teine 40'!G63</f>
        <v>2.79</v>
      </c>
    </row>
    <row r="64" spans="1:7" x14ac:dyDescent="0.25">
      <c r="A64" s="58"/>
      <c r="B64" s="213" t="str">
        <f>'Teine 40'!B64</f>
        <v>Rukkileiva- ja sepikutoodete valik (G)</v>
      </c>
      <c r="C64" s="195">
        <v>40</v>
      </c>
      <c r="D64" s="191">
        <f>(C64/'Teine 40'!C64)*'Teine 40'!D64</f>
        <v>92</v>
      </c>
      <c r="E64" s="191">
        <f>(D64/'Teine 40'!D64)*'Teine 40'!E64</f>
        <v>19.680000000000003</v>
      </c>
      <c r="F64" s="191">
        <f>(E64/'Teine 40'!E64)*'Teine 40'!F64</f>
        <v>0.66400000000000003</v>
      </c>
      <c r="G64" s="191">
        <f>(F64/'Teine 40'!F64)*'Teine 40'!G64</f>
        <v>3.1520000000000001</v>
      </c>
    </row>
    <row r="65" spans="1:8" x14ac:dyDescent="0.25">
      <c r="A65" s="58"/>
      <c r="B65" s="213" t="str">
        <f>'Teine 40'!B65</f>
        <v>Ploom (PRIA)</v>
      </c>
      <c r="C65" s="193">
        <v>100</v>
      </c>
      <c r="D65" s="191">
        <f>(C65/'Teine 40'!C65)*'Teine 40'!D65</f>
        <v>45.7</v>
      </c>
      <c r="E65" s="191">
        <f>(D65/'Teine 40'!D65)*'Teine 40'!E65</f>
        <v>10.01</v>
      </c>
      <c r="F65" s="191">
        <f>(E65/'Teine 40'!E65)*'Teine 40'!F65</f>
        <v>0.3</v>
      </c>
      <c r="G65" s="191">
        <f>(F65/'Teine 40'!F65)*'Teine 40'!G65</f>
        <v>0.5</v>
      </c>
    </row>
    <row r="66" spans="1:8" s="42" customFormat="1" x14ac:dyDescent="0.25">
      <c r="A66" s="316"/>
      <c r="B66" s="317" t="s">
        <v>8</v>
      </c>
      <c r="C66" s="239"/>
      <c r="D66" s="253">
        <f>SUM(D55:D65)</f>
        <v>685.72489999999993</v>
      </c>
      <c r="E66" s="253">
        <f>SUM(E55:E65)</f>
        <v>102.98490000000001</v>
      </c>
      <c r="F66" s="253">
        <f>SUM(F55:F65)</f>
        <v>23.969449999999998</v>
      </c>
      <c r="G66" s="253">
        <f>SUM(G55:G65)</f>
        <v>21.432200000000002</v>
      </c>
    </row>
    <row r="67" spans="1:8" s="42" customFormat="1" x14ac:dyDescent="0.25">
      <c r="A67" s="297" t="s">
        <v>79</v>
      </c>
      <c r="B67" s="302" t="s">
        <v>83</v>
      </c>
      <c r="C67" s="298">
        <v>200</v>
      </c>
      <c r="D67" s="260">
        <f>0.8*338.33</f>
        <v>270.66399999999999</v>
      </c>
      <c r="E67" s="260">
        <f>0.8*30.7</f>
        <v>24.560000000000002</v>
      </c>
      <c r="F67" s="260">
        <f>0.8*5.6144</f>
        <v>4.4915200000000004</v>
      </c>
      <c r="G67" s="260">
        <f>0.8*8.932</f>
        <v>7.1456000000000008</v>
      </c>
    </row>
    <row r="68" spans="1:8" x14ac:dyDescent="0.25">
      <c r="B68" s="16" t="s">
        <v>13</v>
      </c>
      <c r="D68" s="318">
        <f>AVERAGE(D17,D27,D42,D52,D66)</f>
        <v>608.49500857142868</v>
      </c>
      <c r="E68" s="318">
        <f>AVERAGE(E17,E27,E42,E52,E66)</f>
        <v>84.718122857142859</v>
      </c>
      <c r="F68" s="318">
        <f>AVERAGE(F17,F27,F42,F52,F66)</f>
        <v>22.123495714285717</v>
      </c>
      <c r="G68" s="318">
        <f>AVERAGE(G17,G27,G42,G52,G66)</f>
        <v>22.970702857142857</v>
      </c>
      <c r="H68" s="9"/>
    </row>
    <row r="69" spans="1:8" x14ac:dyDescent="0.25">
      <c r="A69" s="303" t="s">
        <v>84</v>
      </c>
      <c r="B69" s="304"/>
    </row>
    <row r="70" spans="1:8" x14ac:dyDescent="0.25">
      <c r="A70" s="41" t="s">
        <v>59</v>
      </c>
      <c r="C70" s="11" t="s">
        <v>15</v>
      </c>
      <c r="D70" s="10"/>
      <c r="E70" s="10"/>
      <c r="F70" s="10"/>
      <c r="G70" s="22"/>
    </row>
  </sheetData>
  <phoneticPr fontId="6" type="noConversion"/>
  <pageMargins left="0.7" right="0.7" top="0.75" bottom="0.75" header="0.3" footer="0.3"/>
  <pageSetup paperSize="9" scale="57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0"/>
  <sheetViews>
    <sheetView topLeftCell="A32" zoomScale="80" zoomScaleNormal="80" workbookViewId="0">
      <selection activeCell="M15" sqref="M15"/>
    </sheetView>
  </sheetViews>
  <sheetFormatPr defaultColWidth="9.28515625" defaultRowHeight="15.75" x14ac:dyDescent="0.25"/>
  <cols>
    <col min="1" max="1" width="25.28515625" style="41" customWidth="1"/>
    <col min="2" max="2" width="59.7109375" style="41" customWidth="1"/>
    <col min="3" max="3" width="13.28515625" style="41" customWidth="1"/>
    <col min="4" max="4" width="13.42578125" style="41" bestFit="1" customWidth="1"/>
    <col min="5" max="5" width="14.7109375" style="41" bestFit="1" customWidth="1"/>
    <col min="6" max="6" width="10.28515625" style="41" bestFit="1" customWidth="1"/>
    <col min="7" max="7" width="10" style="41" bestFit="1" customWidth="1"/>
    <col min="8" max="16384" width="9.28515625" style="41"/>
  </cols>
  <sheetData>
    <row r="1" spans="1:11" ht="38.25" customHeight="1" x14ac:dyDescent="0.25">
      <c r="B1" s="53"/>
    </row>
    <row r="2" spans="1:11" ht="39.75" customHeight="1" x14ac:dyDescent="0.35">
      <c r="A2" s="7" t="str">
        <f>'Teine 41'!A2</f>
        <v>Koolilõuna 09.10-13.10.2023</v>
      </c>
      <c r="B2" s="8"/>
      <c r="C2" s="10" t="s">
        <v>66</v>
      </c>
      <c r="D2" s="11"/>
    </row>
    <row r="3" spans="1:11" s="22" customFormat="1" ht="24" customHeight="1" x14ac:dyDescent="0.25">
      <c r="A3" s="61" t="s">
        <v>1</v>
      </c>
      <c r="B3" s="75"/>
      <c r="C3" s="70" t="s">
        <v>2</v>
      </c>
      <c r="D3" s="70" t="s">
        <v>3</v>
      </c>
      <c r="E3" s="70" t="s">
        <v>4</v>
      </c>
      <c r="F3" s="70" t="s">
        <v>5</v>
      </c>
      <c r="G3" s="70" t="s">
        <v>6</v>
      </c>
    </row>
    <row r="4" spans="1:11" x14ac:dyDescent="0.25">
      <c r="A4" s="71" t="s">
        <v>7</v>
      </c>
      <c r="B4" s="76" t="str">
        <f>'Teine 41'!B4</f>
        <v>Kodune hakklihakaste (L, G)</v>
      </c>
      <c r="C4" s="190">
        <v>60</v>
      </c>
      <c r="D4" s="191">
        <f>(C4/'Teine 41'!C4)*'Teine 41'!D4</f>
        <v>123.59999999999998</v>
      </c>
      <c r="E4" s="191">
        <f>(D4/'Teine 41'!D4)*'Teine 41'!E4</f>
        <v>9.8142857142857132</v>
      </c>
      <c r="F4" s="191">
        <f>(E4/'Teine 41'!E4)*'Teine 41'!F4</f>
        <v>5.9742857142857133</v>
      </c>
      <c r="G4" s="191">
        <f>(F4/'Teine 41'!F4)*'Teine 41'!G4</f>
        <v>5.6742857142857135</v>
      </c>
    </row>
    <row r="5" spans="1:11" x14ac:dyDescent="0.25">
      <c r="A5" s="71"/>
      <c r="B5" s="76" t="str">
        <f>'Teine 41'!B5</f>
        <v>Tomatine kanakaste basiilikuga</v>
      </c>
      <c r="C5" s="365">
        <v>60</v>
      </c>
      <c r="D5" s="191">
        <f>(C5/'Teine 41'!C5)*'Teine 41'!D5</f>
        <v>74.451428571428565</v>
      </c>
      <c r="E5" s="191">
        <f>(D5/'Teine 41'!D5)*'Teine 41'!E5</f>
        <v>10.105714285714285</v>
      </c>
      <c r="F5" s="191">
        <f>(E5/'Teine 41'!E5)*'Teine 41'!F5</f>
        <v>1.9714285714285711</v>
      </c>
      <c r="G5" s="191">
        <f>(F5/'Teine 41'!F5)*'Teine 41'!G5</f>
        <v>4.4828571428571431</v>
      </c>
    </row>
    <row r="6" spans="1:11" x14ac:dyDescent="0.25">
      <c r="A6" s="59"/>
      <c r="B6" s="76" t="str">
        <f>'Teine 41'!B6</f>
        <v>Täisterapasta/pasta (G)</v>
      </c>
      <c r="C6" s="72">
        <v>100</v>
      </c>
      <c r="D6" s="191">
        <f>(C6/'Teine 41'!C6)*'Teine 41'!D6</f>
        <v>178.92</v>
      </c>
      <c r="E6" s="191">
        <f>(D6/'Teine 41'!D6)*'Teine 41'!E6</f>
        <v>34.1</v>
      </c>
      <c r="F6" s="191">
        <f>(E6/'Teine 41'!E6)*'Teine 41'!F6</f>
        <v>1.4</v>
      </c>
      <c r="G6" s="191">
        <f>(F6/'Teine 41'!F6)*'Teine 41'!G6</f>
        <v>6.6</v>
      </c>
    </row>
    <row r="7" spans="1:11" ht="15.75" customHeight="1" x14ac:dyDescent="0.25">
      <c r="A7" s="59"/>
      <c r="B7" s="76" t="str">
        <f>'Teine 41'!B7</f>
        <v>Tatar, aurutatud</v>
      </c>
      <c r="C7" s="72">
        <v>70</v>
      </c>
      <c r="D7" s="191">
        <f>(C7/'Teine 41'!C7)*'Teine 41'!D7</f>
        <v>52.483199999999997</v>
      </c>
      <c r="E7" s="191">
        <f>(D7/'Teine 41'!D7)*'Teine 41'!E7</f>
        <v>12.126800000000001</v>
      </c>
      <c r="F7" s="191">
        <f>(E7/'Teine 41'!E7)*'Teine 41'!F7</f>
        <v>6.9580000000000003E-2</v>
      </c>
      <c r="G7" s="191">
        <f>(F7/'Teine 41'!F7)*'Teine 41'!G7</f>
        <v>1.3617800000000002</v>
      </c>
    </row>
    <row r="8" spans="1:11" ht="15.75" customHeight="1" x14ac:dyDescent="0.25">
      <c r="A8" s="59"/>
      <c r="B8" s="76" t="str">
        <f>'Teine 41'!B8</f>
        <v>Riis, aurutatud</v>
      </c>
      <c r="C8" s="72">
        <v>70</v>
      </c>
      <c r="D8" s="191">
        <f>(C8/'Teine 41'!C8)*'Teine 41'!D8</f>
        <v>90.453999999999994</v>
      </c>
      <c r="E8" s="191">
        <f>(D8/'Teine 41'!D8)*'Teine 41'!E8</f>
        <v>20.033999999999999</v>
      </c>
      <c r="F8" s="191">
        <f>(E8/'Teine 41'!E8)*'Teine 41'!F8</f>
        <v>0.17779999999999999</v>
      </c>
      <c r="G8" s="191">
        <f>(F8/'Teine 41'!F8)*'Teine 41'!G8</f>
        <v>2.0575799999999997</v>
      </c>
    </row>
    <row r="9" spans="1:11" x14ac:dyDescent="0.25">
      <c r="A9" s="59"/>
      <c r="B9" s="76" t="str">
        <f>'Teine 41'!B9</f>
        <v>Kapsa-paprika salat</v>
      </c>
      <c r="C9" s="72">
        <v>25</v>
      </c>
      <c r="D9" s="191">
        <f>(C9/'Teine 41'!C9)*'Teine 41'!D9</f>
        <v>5.4749999999999996</v>
      </c>
      <c r="E9" s="191">
        <f>(D9/'Teine 41'!D9)*'Teine 41'!E9</f>
        <v>0.70250000000000001</v>
      </c>
      <c r="F9" s="191">
        <f>(E9/'Teine 41'!E9)*'Teine 41'!F9</f>
        <v>6.9250000000000006E-2</v>
      </c>
      <c r="G9" s="191">
        <f>(F9/'Teine 41'!F9)*'Teine 41'!G9</f>
        <v>0.28499999999999998</v>
      </c>
    </row>
    <row r="10" spans="1:11" x14ac:dyDescent="0.25">
      <c r="A10" s="59"/>
      <c r="B10" s="76" t="str">
        <f>'Teine 41'!B10</f>
        <v>Peet, mais, porgand</v>
      </c>
      <c r="C10" s="72">
        <v>25</v>
      </c>
      <c r="D10" s="191">
        <f>(C10/'Teine 41'!C10)*'Teine 41'!D10</f>
        <v>11.9</v>
      </c>
      <c r="E10" s="191">
        <f>(D10/'Teine 41'!D10)*'Teine 41'!E10</f>
        <v>2.1524999999999999</v>
      </c>
      <c r="F10" s="191">
        <f>(E10/'Teine 41'!E10)*'Teine 41'!F10</f>
        <v>7.9000000000000001E-2</v>
      </c>
      <c r="G10" s="191">
        <f>(F10/'Teine 41'!F10)*'Teine 41'!G10</f>
        <v>0.33</v>
      </c>
      <c r="H10" s="40"/>
      <c r="I10" s="40"/>
      <c r="J10" s="40"/>
      <c r="K10" s="40"/>
    </row>
    <row r="11" spans="1:11" x14ac:dyDescent="0.25">
      <c r="A11" s="59"/>
      <c r="B11" s="76" t="str">
        <f>'Teine 41'!B11</f>
        <v>Salatikaste</v>
      </c>
      <c r="C11" s="192">
        <v>5</v>
      </c>
      <c r="D11" s="191">
        <f>(C11/'Teine 41'!C11)*'Teine 41'!D11</f>
        <v>35.25</v>
      </c>
      <c r="E11" s="191">
        <f>(D11/'Teine 41'!D11)*'Teine 41'!E11</f>
        <v>0.03</v>
      </c>
      <c r="F11" s="191">
        <f>(E11/'Teine 41'!E11)*'Teine 41'!F11</f>
        <v>3.9</v>
      </c>
      <c r="G11" s="191">
        <f>(F11/'Teine 41'!F11)*'Teine 41'!G11</f>
        <v>0.01</v>
      </c>
      <c r="H11" s="40"/>
      <c r="I11" s="40"/>
      <c r="J11" s="40"/>
      <c r="K11" s="40"/>
    </row>
    <row r="12" spans="1:11" x14ac:dyDescent="0.25">
      <c r="A12" s="59"/>
      <c r="B12" s="76" t="str">
        <f>'Teine 41'!B12</f>
        <v>Seemnesegu</v>
      </c>
      <c r="C12" s="192">
        <v>10</v>
      </c>
      <c r="D12" s="191">
        <f>(C12/'Teine 41'!C12)*'Teine 41'!D12</f>
        <v>61.1</v>
      </c>
      <c r="E12" s="191">
        <f>(D12/'Teine 41'!D12)*'Teine 41'!E12</f>
        <v>1.42</v>
      </c>
      <c r="F12" s="191">
        <f>(E12/'Teine 41'!E12)*'Teine 41'!F12</f>
        <v>5.3599999999999994</v>
      </c>
      <c r="G12" s="191">
        <f>(F12/'Teine 41'!F12)*'Teine 41'!G12</f>
        <v>2.2399999999999998</v>
      </c>
      <c r="H12" s="40"/>
      <c r="I12" s="40"/>
      <c r="J12" s="40"/>
      <c r="K12" s="40"/>
    </row>
    <row r="13" spans="1:11" x14ac:dyDescent="0.25">
      <c r="A13" s="59"/>
      <c r="B13" s="76" t="str">
        <f>'Teine 41'!B13</f>
        <v>PRIA Piimatooted (piim, keefir) (L)</v>
      </c>
      <c r="C13" s="72">
        <v>100</v>
      </c>
      <c r="D13" s="191"/>
      <c r="E13" s="191"/>
      <c r="F13" s="191"/>
      <c r="G13" s="191"/>
      <c r="H13" s="40"/>
      <c r="I13" s="40"/>
      <c r="J13" s="40"/>
      <c r="K13" s="40"/>
    </row>
    <row r="14" spans="1:11" x14ac:dyDescent="0.25">
      <c r="A14" s="59"/>
      <c r="B14" s="76" t="str">
        <f>'Teine 41'!B14</f>
        <v>Rukkileiva- ja sepikutoodete valik (G)</v>
      </c>
      <c r="C14" s="20">
        <v>40</v>
      </c>
      <c r="D14" s="191">
        <f>(C14/'Teine 41'!C14)*'Teine 41'!D14</f>
        <v>92</v>
      </c>
      <c r="E14" s="191">
        <f>(D14/'Teine 41'!D14)*'Teine 41'!E14</f>
        <v>19.680000000000003</v>
      </c>
      <c r="F14" s="191">
        <f>(E14/'Teine 41'!E14)*'Teine 41'!F14</f>
        <v>0.66400000000000003</v>
      </c>
      <c r="G14" s="191">
        <f>(F14/'Teine 41'!F14)*'Teine 41'!G14</f>
        <v>3.1520000000000001</v>
      </c>
    </row>
    <row r="15" spans="1:11" x14ac:dyDescent="0.25">
      <c r="A15" s="59"/>
      <c r="B15" s="76" t="str">
        <f>'Teine 41'!B15</f>
        <v>Õun (PRIA)</v>
      </c>
      <c r="C15" s="193">
        <v>100</v>
      </c>
      <c r="D15" s="191">
        <f>(C15/'Teine 41'!C15)*'Teine 41'!D15</f>
        <v>48.3</v>
      </c>
      <c r="E15" s="191">
        <f>(D15/'Teine 41'!D15)*'Teine 41'!E15</f>
        <v>10.9</v>
      </c>
      <c r="F15" s="191">
        <f>(E15/'Teine 41'!E15)*'Teine 41'!F15</f>
        <v>0</v>
      </c>
      <c r="G15" s="191">
        <v>0</v>
      </c>
    </row>
    <row r="16" spans="1:11" s="52" customFormat="1" x14ac:dyDescent="0.25">
      <c r="A16" s="77"/>
      <c r="B16" s="194" t="s">
        <v>8</v>
      </c>
      <c r="C16" s="78"/>
      <c r="D16" s="93">
        <f>SUM(D4:D15)</f>
        <v>773.93362857142847</v>
      </c>
      <c r="E16" s="93">
        <f>SUM(E4:E15)</f>
        <v>121.06580000000002</v>
      </c>
      <c r="F16" s="93">
        <f>SUM(F4:F15)</f>
        <v>19.665344285714287</v>
      </c>
      <c r="G16" s="93">
        <f>SUM(G4:G15)</f>
        <v>26.193502857142857</v>
      </c>
    </row>
    <row r="17" spans="1:8" x14ac:dyDescent="0.25">
      <c r="A17" s="14" t="s">
        <v>79</v>
      </c>
      <c r="B17" s="12" t="s">
        <v>124</v>
      </c>
      <c r="C17" s="314">
        <v>120</v>
      </c>
      <c r="D17" s="26">
        <f>0.86*142.2</f>
        <v>122.29199999999999</v>
      </c>
      <c r="E17" s="26">
        <f>0.86*10.365</f>
        <v>8.9138999999999999</v>
      </c>
      <c r="F17" s="26">
        <f>0.86*4.005</f>
        <v>3.4442999999999997</v>
      </c>
      <c r="G17" s="26">
        <f>0.86*13.365</f>
        <v>11.4939</v>
      </c>
    </row>
    <row r="18" spans="1:8" s="22" customFormat="1" ht="24" customHeight="1" x14ac:dyDescent="0.25">
      <c r="A18" s="61" t="s">
        <v>9</v>
      </c>
      <c r="B18" s="75"/>
      <c r="C18" s="70" t="s">
        <v>2</v>
      </c>
      <c r="D18" s="70" t="s">
        <v>3</v>
      </c>
      <c r="E18" s="70" t="s">
        <v>4</v>
      </c>
      <c r="F18" s="70" t="s">
        <v>5</v>
      </c>
      <c r="G18" s="70" t="s">
        <v>6</v>
      </c>
    </row>
    <row r="19" spans="1:8" x14ac:dyDescent="0.25">
      <c r="A19" s="71" t="s">
        <v>7</v>
      </c>
      <c r="B19" s="76" t="str">
        <f>'Teine 41'!B19</f>
        <v xml:space="preserve">Värskekapsasupp veiselihaga </v>
      </c>
      <c r="C19" s="72">
        <v>100</v>
      </c>
      <c r="D19" s="191">
        <f>(C19/'Teine 41'!C19)*'Teine 41'!D19</f>
        <v>107</v>
      </c>
      <c r="E19" s="191">
        <f>(D19/'Teine 41'!D19)*'Teine 41'!E19</f>
        <v>9.16</v>
      </c>
      <c r="F19" s="191">
        <f>(E19/'Teine 41'!E19)*'Teine 41'!F19</f>
        <v>3.6200000000000006</v>
      </c>
      <c r="G19" s="191">
        <f>(F19/'Teine 41'!F19)*'Teine 41'!G19</f>
        <v>4.5</v>
      </c>
    </row>
    <row r="20" spans="1:8" x14ac:dyDescent="0.25">
      <c r="A20" s="71"/>
      <c r="B20" s="76" t="str">
        <f>'Teine 41'!B20</f>
        <v>Tomatine kalasupp kikerhernestega</v>
      </c>
      <c r="C20" s="72">
        <v>100</v>
      </c>
      <c r="D20" s="191">
        <f>(C20/'Teine 41'!C20)*'Teine 41'!D20</f>
        <v>122.428</v>
      </c>
      <c r="E20" s="191">
        <f>(D20/'Teine 41'!D20)*'Teine 41'!E20</f>
        <v>11.616</v>
      </c>
      <c r="F20" s="191">
        <f>(E20/'Teine 41'!E20)*'Teine 41'!F20</f>
        <v>6.8360000000000003</v>
      </c>
      <c r="G20" s="191">
        <f>(F20/'Teine 41'!F20)*'Teine 41'!G20</f>
        <v>5.1440000000000001</v>
      </c>
    </row>
    <row r="21" spans="1:8" x14ac:dyDescent="0.25">
      <c r="A21" s="71"/>
      <c r="B21" s="76" t="str">
        <f>'Teine 41'!B21</f>
        <v>Hapukoor</v>
      </c>
      <c r="C21" s="72">
        <v>10</v>
      </c>
      <c r="D21" s="191">
        <f>(C21/'Teine 41'!C21)*'Teine 41'!D21</f>
        <v>22.2</v>
      </c>
      <c r="E21" s="191">
        <f>(D21/'Teine 41'!D21)*'Teine 41'!E21</f>
        <v>0.38</v>
      </c>
      <c r="F21" s="191">
        <f>(E21/'Teine 41'!E21)*'Teine 41'!F21</f>
        <v>2.15</v>
      </c>
      <c r="G21" s="191">
        <f>(F21/'Teine 41'!F21)*'Teine 41'!G21</f>
        <v>0.33</v>
      </c>
    </row>
    <row r="22" spans="1:8" x14ac:dyDescent="0.25">
      <c r="A22" s="71"/>
      <c r="B22" s="76" t="str">
        <f>'Teine 41'!B22</f>
        <v>Panna cotta maasikapüreega (L)</v>
      </c>
      <c r="C22" s="72">
        <v>160</v>
      </c>
      <c r="D22" s="191">
        <f>(C22/'Teine 41'!C22)*'Teine 41'!D22</f>
        <v>196.8</v>
      </c>
      <c r="E22" s="191">
        <f>(D22/'Teine 41'!D22)*'Teine 41'!E22</f>
        <v>24.6</v>
      </c>
      <c r="F22" s="191">
        <f>(E22/'Teine 41'!E22)*'Teine 41'!F22</f>
        <v>6.27</v>
      </c>
      <c r="G22" s="191">
        <f>(F22/'Teine 41'!F22)*'Teine 41'!G22</f>
        <v>5.8079999999999998</v>
      </c>
    </row>
    <row r="23" spans="1:8" x14ac:dyDescent="0.25">
      <c r="A23" s="59"/>
      <c r="B23" s="76" t="str">
        <f>'Teine 41'!B23</f>
        <v>PRIA Piimatooted (piim, keefir) (L)</v>
      </c>
      <c r="C23" s="72">
        <v>100</v>
      </c>
      <c r="D23" s="191"/>
      <c r="E23" s="191"/>
      <c r="F23" s="191"/>
      <c r="G23" s="191"/>
      <c r="H23" s="40"/>
    </row>
    <row r="24" spans="1:8" x14ac:dyDescent="0.25">
      <c r="A24" s="58"/>
      <c r="B24" s="76" t="str">
        <f>'Teine 41'!B24</f>
        <v>Rukkileiva- ja sepikutoodete valik (G)</v>
      </c>
      <c r="C24" s="195">
        <v>40</v>
      </c>
      <c r="D24" s="191">
        <f>(C24/'Teine 41'!C24)*'Teine 41'!D24</f>
        <v>92</v>
      </c>
      <c r="E24" s="191">
        <f>(D24/'Teine 41'!D24)*'Teine 41'!E24</f>
        <v>19.680000000000003</v>
      </c>
      <c r="F24" s="191">
        <f>(E24/'Teine 41'!E24)*'Teine 41'!F24</f>
        <v>0.66400000000000003</v>
      </c>
      <c r="G24" s="191">
        <f>(F24/'Teine 41'!F24)*'Teine 41'!G24</f>
        <v>3.1520000000000001</v>
      </c>
    </row>
    <row r="25" spans="1:8" x14ac:dyDescent="0.25">
      <c r="A25" s="71"/>
      <c r="B25" s="76" t="str">
        <f>'Teine 41'!B25</f>
        <v>Porgand (PRIA)</v>
      </c>
      <c r="C25" s="193">
        <v>100</v>
      </c>
      <c r="D25" s="191">
        <f>(C25/'Teine 41'!C25)*'Teine 41'!D25</f>
        <v>32.4</v>
      </c>
      <c r="E25" s="191">
        <f>(D25/'Teine 41'!D25)*'Teine 41'!E25</f>
        <v>5.6</v>
      </c>
      <c r="F25" s="191">
        <f>(E25/'Teine 41'!E25)*'Teine 41'!F25</f>
        <v>0.2</v>
      </c>
      <c r="G25" s="191">
        <f>(F25/'Teine 41'!F25)*'Teine 41'!G25</f>
        <v>0.6</v>
      </c>
    </row>
    <row r="26" spans="1:8" s="53" customFormat="1" x14ac:dyDescent="0.25">
      <c r="A26" s="65"/>
      <c r="B26" s="196" t="s">
        <v>8</v>
      </c>
      <c r="C26" s="67"/>
      <c r="D26" s="67">
        <f>SUM(D19:D25)</f>
        <v>572.82799999999997</v>
      </c>
      <c r="E26" s="67">
        <f>SUM(E19:E25)</f>
        <v>71.036000000000001</v>
      </c>
      <c r="F26" s="67">
        <f>SUM(F19:F25)</f>
        <v>19.740000000000002</v>
      </c>
      <c r="G26" s="67">
        <f>SUM(G19:G25)</f>
        <v>19.534000000000002</v>
      </c>
    </row>
    <row r="27" spans="1:8" x14ac:dyDescent="0.25">
      <c r="A27" s="14" t="s">
        <v>79</v>
      </c>
      <c r="B27" s="12" t="s">
        <v>85</v>
      </c>
      <c r="C27" s="314">
        <v>200</v>
      </c>
      <c r="D27" s="262">
        <f>0.8*200.25</f>
        <v>160.20000000000002</v>
      </c>
      <c r="E27" s="262">
        <f>0.8*27.6</f>
        <v>22.080000000000002</v>
      </c>
      <c r="F27" s="262">
        <f>0.8*4.3</f>
        <v>3.44</v>
      </c>
      <c r="G27" s="262">
        <f>0.8*6.675</f>
        <v>5.34</v>
      </c>
    </row>
    <row r="28" spans="1:8" s="22" customFormat="1" ht="24" customHeight="1" x14ac:dyDescent="0.25">
      <c r="A28" s="61" t="s">
        <v>10</v>
      </c>
      <c r="B28" s="233"/>
      <c r="C28" s="234" t="s">
        <v>2</v>
      </c>
      <c r="D28" s="234" t="s">
        <v>3</v>
      </c>
      <c r="E28" s="234" t="s">
        <v>4</v>
      </c>
      <c r="F28" s="234" t="s">
        <v>5</v>
      </c>
      <c r="G28" s="234" t="s">
        <v>6</v>
      </c>
    </row>
    <row r="29" spans="1:8" x14ac:dyDescent="0.25">
      <c r="A29" s="71" t="s">
        <v>7</v>
      </c>
      <c r="B29" s="76" t="str">
        <f>'Teine 41'!B29</f>
        <v>Vahemere ürtidega hautatud kana poolkoib (portsjon)</v>
      </c>
      <c r="C29" s="72">
        <v>50</v>
      </c>
      <c r="D29" s="79">
        <f>(C29/'Teine 41'!C29)*'Teine 41'!D29</f>
        <v>98.571428571428569</v>
      </c>
      <c r="E29" s="79">
        <f>(D29/'Teine 41'!D29)*'Teine 41'!E29</f>
        <v>0.21428571428571427</v>
      </c>
      <c r="F29" s="79">
        <f>(E29/'Teine 41'!E29)*'Teine 41'!F29</f>
        <v>4.2857142857142856</v>
      </c>
      <c r="G29" s="79">
        <f>(F29/'Teine 41'!F29)*'Teine 41'!G29</f>
        <v>14.785714285714285</v>
      </c>
    </row>
    <row r="30" spans="1:8" x14ac:dyDescent="0.25">
      <c r="A30" s="71"/>
      <c r="B30" s="76" t="str">
        <f>'Teine 41'!B30</f>
        <v>Ahjus küpsetatud kalafilee tilli ja sidruniga</v>
      </c>
      <c r="C30" s="72">
        <v>40</v>
      </c>
      <c r="D30" s="79">
        <f>(C30/'Teine 41'!C30)*'Teine 41'!D30</f>
        <v>128</v>
      </c>
      <c r="E30" s="79">
        <f>(D30/'Teine 41'!D30)*'Teine 41'!E30</f>
        <v>4.1280000000000001</v>
      </c>
      <c r="F30" s="79">
        <f>(E30/'Teine 41'!E30)*'Teine 41'!F30</f>
        <v>3.28</v>
      </c>
      <c r="G30" s="79">
        <f>(F30/'Teine 41'!F30)*'Teine 41'!G30</f>
        <v>10.240000000000002</v>
      </c>
    </row>
    <row r="31" spans="1:8" x14ac:dyDescent="0.25">
      <c r="A31" s="71"/>
      <c r="B31" s="76" t="str">
        <f>'Teine 41'!B31</f>
        <v>Kartuli-porgandipüree (L)</v>
      </c>
      <c r="C31" s="72">
        <v>100</v>
      </c>
      <c r="D31" s="79">
        <f>(C31/'Teine 41'!C31)*'Teine 41'!D31</f>
        <v>84.6</v>
      </c>
      <c r="E31" s="79">
        <f>(D31/'Teine 41'!D31)*'Teine 41'!E31</f>
        <v>12.6</v>
      </c>
      <c r="F31" s="79">
        <f>(E31/'Teine 41'!E31)*'Teine 41'!F31</f>
        <v>2.71</v>
      </c>
      <c r="G31" s="79">
        <f>(F31/'Teine 41'!F31)*'Teine 41'!G31</f>
        <v>1.85</v>
      </c>
    </row>
    <row r="32" spans="1:8" x14ac:dyDescent="0.25">
      <c r="A32" s="59"/>
      <c r="B32" s="76" t="str">
        <f>'Teine 41'!B32</f>
        <v>Kolme riisi segu, aurutatud</v>
      </c>
      <c r="C32" s="79">
        <v>100</v>
      </c>
      <c r="D32" s="79">
        <f>(C32/'Teine 41'!C32)*'Teine 41'!D32</f>
        <v>74.98</v>
      </c>
      <c r="E32" s="79">
        <f>(D32/'Teine 41'!D32)*'Teine 41'!E32</f>
        <v>17.32</v>
      </c>
      <c r="F32" s="79">
        <f>(E32/'Teine 41'!E32)*'Teine 41'!F32</f>
        <v>0.1</v>
      </c>
      <c r="G32" s="79">
        <f>(F32/'Teine 41'!F32)*'Teine 41'!G32</f>
        <v>1.94</v>
      </c>
    </row>
    <row r="33" spans="1:10" s="22" customFormat="1" x14ac:dyDescent="0.25">
      <c r="A33" s="59"/>
      <c r="B33" s="76" t="str">
        <f>'Teine 41'!B33</f>
        <v>Läätsed, keedetud</v>
      </c>
      <c r="C33" s="73">
        <v>70</v>
      </c>
      <c r="D33" s="79">
        <f>(C33/'Teine 41'!C33)*'Teine 41'!D33</f>
        <v>100.8</v>
      </c>
      <c r="E33" s="79">
        <f>(D33/'Teine 41'!D33)*'Teine 41'!E33</f>
        <v>15.61</v>
      </c>
      <c r="F33" s="79">
        <f>(E33/'Teine 41'!E33)*'Teine 41'!F33</f>
        <v>0.47599999999999998</v>
      </c>
      <c r="G33" s="79">
        <f>(F33/'Teine 41'!F33)*'Teine 41'!G33</f>
        <v>7.1399999999999988</v>
      </c>
    </row>
    <row r="34" spans="1:10" x14ac:dyDescent="0.25">
      <c r="A34" s="59"/>
      <c r="B34" s="76" t="str">
        <f>'Teine 41'!B34</f>
        <v>Soe valgekaste (L, G)</v>
      </c>
      <c r="C34" s="72">
        <v>50</v>
      </c>
      <c r="D34" s="79">
        <f>(C34/'Teine 41'!C34)*'Teine 41'!D34</f>
        <v>73.77</v>
      </c>
      <c r="E34" s="79">
        <f>(D34/'Teine 41'!D34)*'Teine 41'!E34</f>
        <v>5.59</v>
      </c>
      <c r="F34" s="79">
        <f>(E34/'Teine 41'!E34)*'Teine 41'!F34</f>
        <v>4.76</v>
      </c>
      <c r="G34" s="79">
        <f>(F34/'Teine 41'!F34)*'Teine 41'!G34</f>
        <v>2.21</v>
      </c>
      <c r="H34" s="40"/>
      <c r="I34" s="40"/>
      <c r="J34" s="40"/>
    </row>
    <row r="35" spans="1:10" x14ac:dyDescent="0.25">
      <c r="A35" s="58"/>
      <c r="B35" s="76" t="str">
        <f>'Teine 41'!B35</f>
        <v>Kõrvitsa-porgandisalat</v>
      </c>
      <c r="C35" s="72">
        <v>25</v>
      </c>
      <c r="D35" s="79">
        <f>(C35/'Teine 41'!C35)*'Teine 41'!D35</f>
        <v>6.5250000000000004</v>
      </c>
      <c r="E35" s="79">
        <f>(D35/'Teine 41'!D35)*'Teine 41'!E35</f>
        <v>1.1000000000000001</v>
      </c>
      <c r="F35" s="79">
        <f>(E35/'Teine 41'!E35)*'Teine 41'!F35</f>
        <v>4.1750000000000002E-2</v>
      </c>
      <c r="G35" s="79">
        <f>(F35/'Teine 41'!F35)*'Teine 41'!G35</f>
        <v>0.15</v>
      </c>
    </row>
    <row r="36" spans="1:10" x14ac:dyDescent="0.25">
      <c r="A36" s="58"/>
      <c r="B36" s="76" t="str">
        <f>'Teine 41'!B36</f>
        <v>Kapsas, kikerherned, punane redis</v>
      </c>
      <c r="C36" s="81">
        <v>25</v>
      </c>
      <c r="D36" s="79">
        <f>(C36/'Teine 41'!C36)*'Teine 41'!D36</f>
        <v>11.725</v>
      </c>
      <c r="E36" s="79">
        <f>(D36/'Teine 41'!D36)*'Teine 41'!E36</f>
        <v>1.405</v>
      </c>
      <c r="F36" s="79">
        <f>(E36/'Teine 41'!E36)*'Teine 41'!F36</f>
        <v>0.18</v>
      </c>
      <c r="G36" s="79">
        <f>(F36/'Teine 41'!F36)*'Teine 41'!G36</f>
        <v>0.61499999999999999</v>
      </c>
    </row>
    <row r="37" spans="1:10" x14ac:dyDescent="0.25">
      <c r="A37" s="58"/>
      <c r="B37" s="76" t="str">
        <f>'Teine 41'!B37</f>
        <v>Salatikaste</v>
      </c>
      <c r="C37" s="81">
        <v>5</v>
      </c>
      <c r="D37" s="79">
        <f>(C37/'Teine 41'!C37)*'Teine 41'!D37</f>
        <v>35.25</v>
      </c>
      <c r="E37" s="79">
        <f>(D37/'Teine 41'!D37)*'Teine 41'!E37</f>
        <v>0.03</v>
      </c>
      <c r="F37" s="79">
        <f>(E37/'Teine 41'!E37)*'Teine 41'!F37</f>
        <v>3.9</v>
      </c>
      <c r="G37" s="79">
        <f>(F37/'Teine 41'!F37)*'Teine 41'!G37</f>
        <v>0.01</v>
      </c>
    </row>
    <row r="38" spans="1:10" x14ac:dyDescent="0.25">
      <c r="A38" s="71"/>
      <c r="B38" s="76" t="str">
        <f>'Teine 41'!B38</f>
        <v>Seemnesegu</v>
      </c>
      <c r="C38" s="80">
        <v>10</v>
      </c>
      <c r="D38" s="79">
        <f>(C38/'Teine 41'!C38)*'Teine 41'!D38</f>
        <v>61.1</v>
      </c>
      <c r="E38" s="79">
        <f>(D38/'Teine 41'!D38)*'Teine 41'!E38</f>
        <v>1.42</v>
      </c>
      <c r="F38" s="79">
        <f>(E38/'Teine 41'!E38)*'Teine 41'!F38</f>
        <v>5.3599999999999994</v>
      </c>
      <c r="G38" s="79">
        <f>(F38/'Teine 41'!F38)*'Teine 41'!G38</f>
        <v>2.2399999999999998</v>
      </c>
    </row>
    <row r="39" spans="1:10" x14ac:dyDescent="0.25">
      <c r="A39" s="58"/>
      <c r="B39" s="76" t="str">
        <f>'Teine 41'!B39</f>
        <v>PRIA Piimatooted (piim, keefir) (L)</v>
      </c>
      <c r="C39" s="73">
        <v>100</v>
      </c>
      <c r="D39" s="79"/>
      <c r="E39" s="79"/>
      <c r="F39" s="79"/>
      <c r="G39" s="79"/>
    </row>
    <row r="40" spans="1:10" x14ac:dyDescent="0.25">
      <c r="A40" s="58"/>
      <c r="B40" s="76" t="str">
        <f>'Teine 41'!B40</f>
        <v>Rukkileiva- ja sepikutoodete valik (G)</v>
      </c>
      <c r="C40" s="72">
        <v>40</v>
      </c>
      <c r="D40" s="79">
        <f>(C40/'Teine 41'!C40)*'Teine 41'!D40</f>
        <v>92</v>
      </c>
      <c r="E40" s="79">
        <f>(D40/'Teine 41'!D40)*'Teine 41'!E40</f>
        <v>19.680000000000003</v>
      </c>
      <c r="F40" s="79">
        <f>(E40/'Teine 41'!E40)*'Teine 41'!F40</f>
        <v>0.66400000000000003</v>
      </c>
      <c r="G40" s="79">
        <f>(F40/'Teine 41'!F40)*'Teine 41'!G40</f>
        <v>3.1520000000000001</v>
      </c>
    </row>
    <row r="41" spans="1:10" x14ac:dyDescent="0.25">
      <c r="A41" s="58"/>
      <c r="B41" s="76" t="str">
        <f>'Teine 41'!B41</f>
        <v>Pirn (PRIA)</v>
      </c>
      <c r="C41" s="72">
        <v>100</v>
      </c>
      <c r="D41" s="79">
        <f>(C41/'Teine 41'!C41)*'Teine 41'!D41</f>
        <v>46.4</v>
      </c>
      <c r="E41" s="79">
        <f>(D41/'Teine 41'!D41)*'Teine 41'!E41</f>
        <v>10.199999999999999</v>
      </c>
      <c r="F41" s="79">
        <f>(E41/'Teine 41'!E41)*'Teine 41'!F41</f>
        <v>0</v>
      </c>
      <c r="G41" s="79">
        <v>0.3</v>
      </c>
    </row>
    <row r="42" spans="1:10" s="53" customFormat="1" x14ac:dyDescent="0.25">
      <c r="A42" s="65"/>
      <c r="B42" s="196" t="s">
        <v>8</v>
      </c>
      <c r="C42" s="157"/>
      <c r="D42" s="157">
        <f>SUM(D30:D40)</f>
        <v>668.75</v>
      </c>
      <c r="E42" s="157">
        <f t="shared" ref="E42:G42" si="0">SUM(E30:E40)</f>
        <v>78.88300000000001</v>
      </c>
      <c r="F42" s="157">
        <f t="shared" si="0"/>
        <v>21.47175</v>
      </c>
      <c r="G42" s="157">
        <f t="shared" si="0"/>
        <v>29.547000000000001</v>
      </c>
    </row>
    <row r="43" spans="1:10" x14ac:dyDescent="0.25">
      <c r="A43" s="14" t="s">
        <v>79</v>
      </c>
      <c r="B43" s="12" t="s">
        <v>86</v>
      </c>
      <c r="C43" s="314">
        <v>120</v>
      </c>
      <c r="D43" s="26">
        <f>0.86*176.5</f>
        <v>151.79</v>
      </c>
      <c r="E43" s="26">
        <f>0.86*20.8</f>
        <v>17.888000000000002</v>
      </c>
      <c r="F43" s="26">
        <f>0.86*9.65</f>
        <v>8.2989999999999995</v>
      </c>
      <c r="G43" s="26">
        <f>0.86*6.825</f>
        <v>5.8695000000000004</v>
      </c>
    </row>
    <row r="44" spans="1:10" s="22" customFormat="1" ht="24" customHeight="1" x14ac:dyDescent="0.25">
      <c r="A44" s="61" t="s">
        <v>11</v>
      </c>
      <c r="B44" s="75"/>
      <c r="C44" s="70" t="s">
        <v>2</v>
      </c>
      <c r="D44" s="70" t="s">
        <v>3</v>
      </c>
      <c r="E44" s="70" t="s">
        <v>4</v>
      </c>
      <c r="F44" s="70" t="s">
        <v>5</v>
      </c>
      <c r="G44" s="70" t="s">
        <v>6</v>
      </c>
    </row>
    <row r="45" spans="1:10" x14ac:dyDescent="0.25">
      <c r="A45" s="71" t="s">
        <v>7</v>
      </c>
      <c r="B45" s="76" t="str">
        <f>'Teine 41'!B45</f>
        <v>Guljašš-supp sealihaga</v>
      </c>
      <c r="C45" s="74">
        <v>100</v>
      </c>
      <c r="D45" s="79">
        <f>(C45/'Teine 41'!C45)*'Teine 41'!D45</f>
        <v>90</v>
      </c>
      <c r="E45" s="79">
        <f>(D45/'Teine 41'!D45)*'Teine 41'!E45</f>
        <v>12.740000000000002</v>
      </c>
      <c r="F45" s="79">
        <f>(E45/'Teine 41'!E45)*'Teine 41'!F45</f>
        <v>4.5600000000000005</v>
      </c>
      <c r="G45" s="79">
        <f>(F45/'Teine 41'!F45)*'Teine 41'!G45</f>
        <v>3.74</v>
      </c>
    </row>
    <row r="46" spans="1:10" s="12" customFormat="1" x14ac:dyDescent="0.25">
      <c r="A46" s="64"/>
      <c r="B46" s="76" t="str">
        <f>'Teine 41'!B46</f>
        <v>Hapukoor (L)</v>
      </c>
      <c r="C46" s="370">
        <v>10</v>
      </c>
      <c r="D46" s="79">
        <f>(C46/'Teine 41'!C46)*'Teine 41'!D46</f>
        <v>22.2</v>
      </c>
      <c r="E46" s="79">
        <f>(D46/'Teine 41'!D46)*'Teine 41'!E46</f>
        <v>0.38</v>
      </c>
      <c r="F46" s="79">
        <f>(E46/'Teine 41'!E46)*'Teine 41'!F46</f>
        <v>2.15</v>
      </c>
      <c r="G46" s="79">
        <f>(F46/'Teine 41'!F46)*'Teine 41'!G46</f>
        <v>0.33</v>
      </c>
    </row>
    <row r="47" spans="1:10" s="12" customFormat="1" x14ac:dyDescent="0.25">
      <c r="A47" s="64"/>
      <c r="B47" s="76" t="str">
        <f>'Teine 41'!B47</f>
        <v>Tähestikusupp kanalihaga (G)</v>
      </c>
      <c r="C47" s="370">
        <v>100</v>
      </c>
      <c r="D47" s="79">
        <f>(C47/'Teine 41'!C47)*'Teine 41'!D47</f>
        <v>86.4</v>
      </c>
      <c r="E47" s="79">
        <f>(D47/'Teine 41'!D47)*'Teine 41'!E47</f>
        <v>10.808</v>
      </c>
      <c r="F47" s="79">
        <f>(E47/'Teine 41'!E47)*'Teine 41'!F47</f>
        <v>5.1840000000000011</v>
      </c>
      <c r="G47" s="79">
        <f>(F47/'Teine 41'!F47)*'Teine 41'!G47</f>
        <v>1.6800000000000004</v>
      </c>
    </row>
    <row r="48" spans="1:10" x14ac:dyDescent="0.25">
      <c r="A48" s="58"/>
      <c r="B48" s="76" t="str">
        <f>'Teine 41'!B48</f>
        <v>Õuna-astelpaju jogurtidessert (L)</v>
      </c>
      <c r="C48" s="371">
        <v>160</v>
      </c>
      <c r="D48" s="79">
        <f>(C48/'Teine 41'!C48)*'Teine 41'!D48</f>
        <v>268.2</v>
      </c>
      <c r="E48" s="79">
        <f>(D48/'Teine 41'!D48)*'Teine 41'!E48</f>
        <v>36.14</v>
      </c>
      <c r="F48" s="79">
        <f>(E48/'Teine 41'!E48)*'Teine 41'!F48</f>
        <v>8.02</v>
      </c>
      <c r="G48" s="79">
        <f>(F48/'Teine 41'!F48)*'Teine 41'!G48</f>
        <v>6.1</v>
      </c>
    </row>
    <row r="49" spans="1:12" x14ac:dyDescent="0.25">
      <c r="A49" s="59"/>
      <c r="B49" s="76" t="str">
        <f>'Teine 41'!B49</f>
        <v>PRIA Piimatooted (piim, keefir) (L)</v>
      </c>
      <c r="C49" s="80">
        <v>100</v>
      </c>
      <c r="D49" s="79"/>
      <c r="E49" s="79"/>
      <c r="F49" s="79"/>
      <c r="G49" s="79"/>
    </row>
    <row r="50" spans="1:12" x14ac:dyDescent="0.25">
      <c r="A50" s="59"/>
      <c r="B50" s="76" t="str">
        <f>'Teine 41'!B50</f>
        <v>Rukkileiva- ja sepikutoodete valik (G)</v>
      </c>
      <c r="C50" s="73">
        <v>40</v>
      </c>
      <c r="D50" s="79">
        <f>(C50/'Teine 41'!C50)*'Teine 41'!D50</f>
        <v>92</v>
      </c>
      <c r="E50" s="79">
        <f>(D50/'Teine 41'!D50)*'Teine 41'!E50</f>
        <v>19.680000000000003</v>
      </c>
      <c r="F50" s="79">
        <f>(E50/'Teine 41'!E50)*'Teine 41'!F50</f>
        <v>0.66400000000000003</v>
      </c>
      <c r="G50" s="79">
        <f>(F50/'Teine 41'!F50)*'Teine 41'!G50</f>
        <v>3.1520000000000001</v>
      </c>
    </row>
    <row r="51" spans="1:12" x14ac:dyDescent="0.25">
      <c r="A51" s="90"/>
      <c r="B51" s="76" t="str">
        <f>'Teine 41'!B51</f>
        <v xml:space="preserve">Nuikapsas/kapsas (PRIA) </v>
      </c>
      <c r="C51" s="73">
        <v>100</v>
      </c>
      <c r="D51" s="79">
        <f>(C51/'Teine 41'!C51)*'Teine 41'!D51</f>
        <v>24.2</v>
      </c>
      <c r="E51" s="79">
        <f>(D51/'Teine 41'!D51)*'Teine 41'!E51</f>
        <v>4.2</v>
      </c>
      <c r="F51" s="79">
        <f>(E51/'Teine 41'!E51)*'Teine 41'!F51</f>
        <v>0.2</v>
      </c>
      <c r="G51" s="79">
        <f>(F51/'Teine 41'!F51)*'Teine 41'!G51</f>
        <v>0.5</v>
      </c>
    </row>
    <row r="52" spans="1:12" s="53" customFormat="1" x14ac:dyDescent="0.25">
      <c r="A52" s="65"/>
      <c r="B52" s="166" t="s">
        <v>8</v>
      </c>
      <c r="C52" s="157"/>
      <c r="D52" s="157">
        <f>SUM(D45:D50)</f>
        <v>558.79999999999995</v>
      </c>
      <c r="E52" s="157">
        <f>SUM(E45:E50)</f>
        <v>79.748000000000005</v>
      </c>
      <c r="F52" s="157">
        <f>SUM(F45:F50)</f>
        <v>20.578000000000003</v>
      </c>
      <c r="G52" s="157">
        <f>SUM(G45:G50)</f>
        <v>15.002000000000002</v>
      </c>
    </row>
    <row r="53" spans="1:12" x14ac:dyDescent="0.25">
      <c r="A53" s="14" t="s">
        <v>79</v>
      </c>
      <c r="B53" s="12" t="s">
        <v>87</v>
      </c>
      <c r="C53" s="314">
        <v>200</v>
      </c>
      <c r="D53" s="26">
        <f>0.8*275</f>
        <v>220</v>
      </c>
      <c r="E53" s="26">
        <f>0.8*19.8</f>
        <v>15.840000000000002</v>
      </c>
      <c r="F53" s="26">
        <f>0.8*14.725</f>
        <v>11.780000000000001</v>
      </c>
      <c r="G53" s="26">
        <f>0.8*11.775</f>
        <v>9.42</v>
      </c>
    </row>
    <row r="54" spans="1:12" s="22" customFormat="1" ht="24" customHeight="1" x14ac:dyDescent="0.25">
      <c r="A54" s="61" t="s">
        <v>12</v>
      </c>
      <c r="B54" s="88"/>
      <c r="C54" s="70" t="s">
        <v>2</v>
      </c>
      <c r="D54" s="70" t="s">
        <v>3</v>
      </c>
      <c r="E54" s="70" t="s">
        <v>4</v>
      </c>
      <c r="F54" s="70" t="s">
        <v>5</v>
      </c>
      <c r="G54" s="70" t="s">
        <v>6</v>
      </c>
    </row>
    <row r="55" spans="1:12" x14ac:dyDescent="0.25">
      <c r="A55" s="71" t="s">
        <v>7</v>
      </c>
      <c r="B55" s="76" t="str">
        <f>'Teine 41'!B55</f>
        <v>Lõhe-kartuliroog porrulaugu ja tilliga</v>
      </c>
      <c r="C55" s="79">
        <v>100</v>
      </c>
      <c r="D55" s="79">
        <f>(C55/'Teine 41'!C55)*'Teine 41'!D55</f>
        <v>119</v>
      </c>
      <c r="E55" s="79">
        <f>(D55/'Teine 41'!D55)*'Teine 41'!E55</f>
        <v>19.200000000000003</v>
      </c>
      <c r="F55" s="79">
        <f>(E55/'Teine 41'!E55)*'Teine 41'!F55</f>
        <v>5.7200000000000015</v>
      </c>
      <c r="G55" s="79">
        <f>(F55/'Teine 41'!F55)*'Teine 41'!G55</f>
        <v>4.3520000000000012</v>
      </c>
    </row>
    <row r="56" spans="1:12" x14ac:dyDescent="0.25">
      <c r="A56" s="71"/>
      <c r="B56" s="76" t="str">
        <f>'Teine 41'!B56</f>
        <v>Tatrahautis šampinjonide ja hakklihaga</v>
      </c>
      <c r="C56" s="79">
        <v>100</v>
      </c>
      <c r="D56" s="79">
        <f>(C56/'Teine 41'!C56)*'Teine 41'!D56</f>
        <v>101</v>
      </c>
      <c r="E56" s="79">
        <f>(D56/'Teine 41'!D56)*'Teine 41'!E56</f>
        <v>12</v>
      </c>
      <c r="F56" s="79">
        <f>(E56/'Teine 41'!E56)*'Teine 41'!F56</f>
        <v>2.9280000000000004</v>
      </c>
      <c r="G56" s="79">
        <f>(F56/'Teine 41'!F56)*'Teine 41'!G56</f>
        <v>5.49</v>
      </c>
    </row>
    <row r="57" spans="1:12" x14ac:dyDescent="0.25">
      <c r="A57" s="71"/>
      <c r="B57" s="372" t="str">
        <f>'Teine 41'!B57</f>
        <v>Aurutatud brokoli ja lillkapsas</v>
      </c>
      <c r="C57" s="112">
        <v>70</v>
      </c>
      <c r="D57" s="79">
        <f>(C57/'Teine 41'!C57)*'Teine 41'!D57</f>
        <v>26.669999999999998</v>
      </c>
      <c r="E57" s="79">
        <f>(D57/'Teine 41'!D57)*'Teine 41'!E57</f>
        <v>3.2479999999999998</v>
      </c>
      <c r="F57" s="79">
        <f>(E57/'Teine 41'!E57)*'Teine 41'!F57</f>
        <v>0.308</v>
      </c>
      <c r="G57" s="79">
        <f>(F57/'Teine 41'!F57)*'Teine 41'!G57</f>
        <v>2.2959999999999998</v>
      </c>
    </row>
    <row r="58" spans="1:12" x14ac:dyDescent="0.25">
      <c r="A58" s="71"/>
      <c r="B58" s="235" t="str">
        <f>'Teine 41'!B58</f>
        <v>Hapukoore-jogurtikaste sinepiga (L)</v>
      </c>
      <c r="C58" s="79">
        <v>50</v>
      </c>
      <c r="D58" s="79">
        <f>(C58/'Teine 41'!C58)*'Teine 41'!D58</f>
        <v>78</v>
      </c>
      <c r="E58" s="79">
        <f>(D58/'Teine 41'!D58)*'Teine 41'!E58</f>
        <v>5.2</v>
      </c>
      <c r="F58" s="79">
        <f>(E58/'Teine 41'!E58)*'Teine 41'!F58</f>
        <v>5.75</v>
      </c>
      <c r="G58" s="79">
        <f>(F58/'Teine 41'!F58)*'Teine 41'!G58</f>
        <v>1.39</v>
      </c>
    </row>
    <row r="59" spans="1:12" x14ac:dyDescent="0.25">
      <c r="A59" s="58"/>
      <c r="B59" s="235" t="str">
        <f>'Teine 41'!B59</f>
        <v>Hiina kapsa salat tomatiga</v>
      </c>
      <c r="C59" s="54">
        <v>25</v>
      </c>
      <c r="D59" s="79">
        <f>(C59/'Teine 41'!C59)*'Teine 41'!D59</f>
        <v>5.13</v>
      </c>
      <c r="E59" s="79">
        <f>(D59/'Teine 41'!D59)*'Teine 41'!E59</f>
        <v>0.9</v>
      </c>
      <c r="F59" s="79">
        <f>(E59/'Teine 41'!E59)*'Teine 41'!F59</f>
        <v>7.4999999999999997E-2</v>
      </c>
      <c r="G59" s="79">
        <f>(F59/'Teine 41'!F59)*'Teine 41'!G59</f>
        <v>0.34</v>
      </c>
      <c r="H59" s="40"/>
      <c r="I59" s="40"/>
      <c r="J59" s="40"/>
    </row>
    <row r="60" spans="1:12" x14ac:dyDescent="0.25">
      <c r="A60" s="58"/>
      <c r="B60" s="235" t="str">
        <f>'Teine 41'!B60</f>
        <v>Kaalikas, punane uba, roheline hernes, kodujuust (PRIA) (L)</v>
      </c>
      <c r="C60" s="72">
        <v>25</v>
      </c>
      <c r="D60" s="79">
        <f>(C60/'Teine 41'!C60)*'Teine 41'!D60</f>
        <v>19.225000000000001</v>
      </c>
      <c r="E60" s="79">
        <f>(D60/'Teine 41'!D60)*'Teine 41'!E60</f>
        <v>2.2524999999999999</v>
      </c>
      <c r="F60" s="79">
        <f>(E60/'Teine 41'!E60)*'Teine 41'!F60</f>
        <v>0.28249999999999997</v>
      </c>
      <c r="G60" s="79">
        <f>(F60/'Teine 41'!F60)*'Teine 41'!G60</f>
        <v>1.5175000000000001</v>
      </c>
    </row>
    <row r="61" spans="1:12" x14ac:dyDescent="0.25">
      <c r="A61" s="58"/>
      <c r="B61" s="235" t="str">
        <f>'Teine 41'!B61</f>
        <v>Salatikaste</v>
      </c>
      <c r="C61" s="192">
        <v>5</v>
      </c>
      <c r="D61" s="79">
        <f>(C61/'Teine 41'!C61)*'Teine 41'!D61</f>
        <v>35.25</v>
      </c>
      <c r="E61" s="79">
        <f>(D61/'Teine 41'!D61)*'Teine 41'!E61</f>
        <v>0.03</v>
      </c>
      <c r="F61" s="79">
        <f>(E61/'Teine 41'!E61)*'Teine 41'!F61</f>
        <v>3.9</v>
      </c>
      <c r="G61" s="79">
        <f>(F61/'Teine 41'!F61)*'Teine 41'!G61</f>
        <v>0.01</v>
      </c>
    </row>
    <row r="62" spans="1:12" x14ac:dyDescent="0.25">
      <c r="A62" s="58"/>
      <c r="B62" s="235" t="str">
        <f>'Teine 41'!B62</f>
        <v>Seemnesegu</v>
      </c>
      <c r="C62" s="192">
        <v>10</v>
      </c>
      <c r="D62" s="79">
        <f>(C62/'Teine 41'!C62)*'Teine 41'!D62</f>
        <v>61.099899999999998</v>
      </c>
      <c r="E62" s="79">
        <f>(D62/'Teine 41'!D62)*'Teine 41'!E62</f>
        <v>1.4198999999999999</v>
      </c>
      <c r="F62" s="79">
        <f>(E62/'Teine 41'!E62)*'Teine 41'!F62</f>
        <v>5.3598999999999997</v>
      </c>
      <c r="G62" s="79">
        <f>(F62/'Teine 41'!F62)*'Teine 41'!G62</f>
        <v>2.2399</v>
      </c>
    </row>
    <row r="63" spans="1:12" x14ac:dyDescent="0.25">
      <c r="A63" s="59"/>
      <c r="B63" s="235" t="str">
        <f>'Teine 41'!B63</f>
        <v>PRIA Piimatooted (piim, keefir) (L)</v>
      </c>
      <c r="C63" s="72">
        <v>100</v>
      </c>
      <c r="D63" s="79"/>
      <c r="E63" s="79"/>
      <c r="F63" s="79"/>
      <c r="G63" s="79"/>
      <c r="H63" s="40"/>
      <c r="I63" s="40"/>
      <c r="J63" s="40"/>
      <c r="K63" s="40"/>
      <c r="L63" s="40"/>
    </row>
    <row r="64" spans="1:12" x14ac:dyDescent="0.25">
      <c r="A64" s="58"/>
      <c r="B64" s="235" t="str">
        <f>'Teine 41'!B64</f>
        <v>Rukkileiva- ja sepikutoodete valik (G)</v>
      </c>
      <c r="C64" s="195">
        <v>40</v>
      </c>
      <c r="D64" s="79">
        <f>(C64/'Teine 41'!C64)*'Teine 41'!D64</f>
        <v>92</v>
      </c>
      <c r="E64" s="79">
        <f>(D64/'Teine 41'!D64)*'Teine 41'!E64</f>
        <v>19.680000000000003</v>
      </c>
      <c r="F64" s="79">
        <f>(E64/'Teine 41'!E64)*'Teine 41'!F64</f>
        <v>0.66400000000000003</v>
      </c>
      <c r="G64" s="79">
        <f>(F64/'Teine 41'!F64)*'Teine 41'!G64</f>
        <v>3.1520000000000001</v>
      </c>
    </row>
    <row r="65" spans="1:7" x14ac:dyDescent="0.25">
      <c r="A65" s="236"/>
      <c r="B65" s="235" t="str">
        <f>'Teine 41'!B65</f>
        <v>Ploom (PRIA)</v>
      </c>
      <c r="C65" s="198">
        <v>100</v>
      </c>
      <c r="D65" s="79">
        <f>(C65/'Teine 41'!C65)*'Teine 41'!D65</f>
        <v>45.7</v>
      </c>
      <c r="E65" s="79">
        <f>(D65/'Teine 41'!D65)*'Teine 41'!E65</f>
        <v>10.01</v>
      </c>
      <c r="F65" s="79">
        <f>(E65/'Teine 41'!E65)*'Teine 41'!F65</f>
        <v>0.3</v>
      </c>
      <c r="G65" s="79">
        <f>(F65/'Teine 41'!F65)*'Teine 41'!G65</f>
        <v>0.5</v>
      </c>
    </row>
    <row r="66" spans="1:7" s="53" customFormat="1" x14ac:dyDescent="0.25">
      <c r="A66" s="294"/>
      <c r="B66" s="319" t="s">
        <v>8</v>
      </c>
      <c r="C66" s="55"/>
      <c r="D66" s="55">
        <f>SUM(D55:D65)</f>
        <v>583.07490000000007</v>
      </c>
      <c r="E66" s="55">
        <f>SUM(E55:E65)</f>
        <v>73.940400000000011</v>
      </c>
      <c r="F66" s="55">
        <f>SUM(F55:F65)</f>
        <v>25.287400000000002</v>
      </c>
      <c r="G66" s="55">
        <f>SUM(G55:G65)</f>
        <v>21.287400000000002</v>
      </c>
    </row>
    <row r="67" spans="1:7" s="53" customFormat="1" x14ac:dyDescent="0.25">
      <c r="A67" s="87" t="s">
        <v>79</v>
      </c>
      <c r="B67" s="308" t="s">
        <v>140</v>
      </c>
      <c r="C67" s="313">
        <v>200</v>
      </c>
      <c r="D67" s="262">
        <f>0.57*313.25</f>
        <v>178.55249999999998</v>
      </c>
      <c r="E67" s="262">
        <f>0.57*35</f>
        <v>19.95</v>
      </c>
      <c r="F67" s="262">
        <f>0.57*11.9</f>
        <v>6.7829999999999995</v>
      </c>
      <c r="G67" s="262">
        <f>0.57*14.175</f>
        <v>8.0797499999999989</v>
      </c>
    </row>
    <row r="68" spans="1:7" x14ac:dyDescent="0.25">
      <c r="B68" s="16" t="s">
        <v>13</v>
      </c>
      <c r="D68" s="60">
        <f>AVERAGE(D16,D26,D42,D52,D66)</f>
        <v>631.47730571428576</v>
      </c>
      <c r="E68" s="60">
        <f>AVERAGE(E16,E26,E42,E52,E66)</f>
        <v>84.934640000000016</v>
      </c>
      <c r="F68" s="60">
        <f>AVERAGE(F16,F26,F42,F52,F66)</f>
        <v>21.348498857142861</v>
      </c>
      <c r="G68" s="60">
        <f>AVERAGE(G16,G26,G42,G52,G66)</f>
        <v>22.312780571428576</v>
      </c>
    </row>
    <row r="69" spans="1:7" x14ac:dyDescent="0.25">
      <c r="A69" s="303" t="s">
        <v>84</v>
      </c>
      <c r="B69" s="304"/>
      <c r="E69" s="10"/>
      <c r="F69" s="10"/>
      <c r="G69" s="9"/>
    </row>
    <row r="70" spans="1:7" x14ac:dyDescent="0.25">
      <c r="A70" s="41" t="s">
        <v>59</v>
      </c>
      <c r="C70" s="11" t="s">
        <v>15</v>
      </c>
      <c r="D70" s="10"/>
    </row>
  </sheetData>
  <pageMargins left="0.7" right="0.7" top="0.75" bottom="0.75" header="0.3" footer="0.3"/>
  <pageSetup paperSize="9" scale="59" orientation="portrait" r:id="rId1"/>
  <ignoredErrors>
    <ignoredError sqref="G26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71"/>
  <sheetViews>
    <sheetView topLeftCell="A47" zoomScale="80" zoomScaleNormal="80" workbookViewId="0">
      <selection activeCell="N42" sqref="N42"/>
    </sheetView>
  </sheetViews>
  <sheetFormatPr defaultColWidth="9.28515625" defaultRowHeight="15.75" x14ac:dyDescent="0.25"/>
  <cols>
    <col min="1" max="1" width="23.7109375" style="41" customWidth="1"/>
    <col min="2" max="2" width="46.42578125" style="41" customWidth="1"/>
    <col min="3" max="3" width="11.7109375" style="41" customWidth="1"/>
    <col min="4" max="4" width="13.42578125" style="41" bestFit="1" customWidth="1"/>
    <col min="5" max="5" width="14.7109375" style="41" bestFit="1" customWidth="1"/>
    <col min="6" max="6" width="10.28515625" style="41" bestFit="1" customWidth="1"/>
    <col min="7" max="7" width="10" style="41" bestFit="1" customWidth="1"/>
    <col min="8" max="16384" width="9.28515625" style="41"/>
  </cols>
  <sheetData>
    <row r="1" spans="1:7" ht="30" customHeight="1" x14ac:dyDescent="0.25">
      <c r="B1" s="53"/>
    </row>
    <row r="2" spans="1:7" ht="35.25" customHeight="1" x14ac:dyDescent="0.35">
      <c r="A2" s="7" t="str">
        <f>'Teine 42'!A2</f>
        <v>Koolilõuna 16.10-20.10.2023</v>
      </c>
      <c r="B2" s="8"/>
      <c r="C2" s="10" t="s">
        <v>66</v>
      </c>
      <c r="D2" s="11"/>
    </row>
    <row r="3" spans="1:7" s="22" customFormat="1" ht="24" customHeight="1" x14ac:dyDescent="0.25">
      <c r="A3" s="61" t="s">
        <v>1</v>
      </c>
      <c r="B3" s="233"/>
      <c r="C3" s="234" t="s">
        <v>2</v>
      </c>
      <c r="D3" s="234" t="s">
        <v>3</v>
      </c>
      <c r="E3" s="234" t="s">
        <v>4</v>
      </c>
      <c r="F3" s="234" t="s">
        <v>5</v>
      </c>
      <c r="G3" s="234" t="s">
        <v>6</v>
      </c>
    </row>
    <row r="4" spans="1:7" x14ac:dyDescent="0.25">
      <c r="A4" s="71" t="s">
        <v>7</v>
      </c>
      <c r="B4" s="71" t="str">
        <f>'Teine 42'!B4</f>
        <v>Kana-karrikaste (L, G)</v>
      </c>
      <c r="C4" s="373">
        <v>60</v>
      </c>
      <c r="D4" s="254">
        <f>C4*'Teine 42'!D4/'Teine 42'!C4</f>
        <v>85.8</v>
      </c>
      <c r="E4" s="254">
        <f>D4*'Teine 42'!E4/'Teine 42'!D4</f>
        <v>7.7657142857142869</v>
      </c>
      <c r="F4" s="254">
        <f>E4*'Teine 42'!F4/'Teine 42'!E4</f>
        <v>4.3200000000000012</v>
      </c>
      <c r="G4" s="254">
        <f>F4*'Teine 42'!G4/'Teine 42'!F4</f>
        <v>7.6714285714285735</v>
      </c>
    </row>
    <row r="5" spans="1:7" x14ac:dyDescent="0.25">
      <c r="A5" s="71"/>
      <c r="B5" s="71" t="str">
        <f>'Teine 42'!B5</f>
        <v>Bolognese kaste</v>
      </c>
      <c r="C5" s="375">
        <v>60</v>
      </c>
      <c r="D5" s="254">
        <f>C5*'Teine 42'!D5/'Teine 42'!C5</f>
        <v>71.571428571428569</v>
      </c>
      <c r="E5" s="254">
        <f>D5*'Teine 42'!E5/'Teine 42'!D5</f>
        <v>3.891428571428571</v>
      </c>
      <c r="F5" s="254">
        <f>E5*'Teine 42'!F5/'Teine 42'!E5</f>
        <v>4.6071428571428568</v>
      </c>
      <c r="G5" s="254">
        <f>F5*'Teine 42'!G5/'Teine 42'!F5</f>
        <v>4.17</v>
      </c>
    </row>
    <row r="6" spans="1:7" x14ac:dyDescent="0.25">
      <c r="A6" s="71"/>
      <c r="B6" s="71" t="str">
        <f>'Teine 42'!B6</f>
        <v>Riis, aurutatud</v>
      </c>
      <c r="C6" s="375">
        <v>70</v>
      </c>
      <c r="D6" s="254">
        <f>C6*'Teine 42'!D6/'Teine 42'!C6</f>
        <v>90.453999999999994</v>
      </c>
      <c r="E6" s="254">
        <f>D6*'Teine 42'!E6/'Teine 42'!D6</f>
        <v>20.033999999999999</v>
      </c>
      <c r="F6" s="254">
        <f>E6*'Teine 42'!F6/'Teine 42'!E6</f>
        <v>0.17779999999999999</v>
      </c>
      <c r="G6" s="254">
        <f>F6*'Teine 42'!G6/'Teine 42'!F6</f>
        <v>2.0575799999999997</v>
      </c>
    </row>
    <row r="7" spans="1:7" x14ac:dyDescent="0.25">
      <c r="A7" s="59"/>
      <c r="B7" s="71" t="str">
        <f>'Teine 42'!B7</f>
        <v>Täisterapasta/pasta (G)</v>
      </c>
      <c r="C7" s="54">
        <v>70</v>
      </c>
      <c r="D7" s="254">
        <f>C7*'Teine 42'!D7/'Teine 42'!C7</f>
        <v>125.244</v>
      </c>
      <c r="E7" s="254">
        <f>D7*'Teine 42'!E7/'Teine 42'!D7</f>
        <v>23.870000000000005</v>
      </c>
      <c r="F7" s="254">
        <f>E7*'Teine 42'!F7/'Teine 42'!E7</f>
        <v>0.98000000000000009</v>
      </c>
      <c r="G7" s="254">
        <f>F7*'Teine 42'!G7/'Teine 42'!F7</f>
        <v>4.62</v>
      </c>
    </row>
    <row r="8" spans="1:7" x14ac:dyDescent="0.25">
      <c r="A8" s="59"/>
      <c r="B8" s="71" t="str">
        <f>'Teine 42'!B8</f>
        <v>Bulgur, keedetud (G)</v>
      </c>
      <c r="C8" s="72">
        <v>70</v>
      </c>
      <c r="D8" s="254">
        <f>C8*'Teine 42'!D8/'Teine 42'!C8</f>
        <v>85.4</v>
      </c>
      <c r="E8" s="254">
        <f>D8*'Teine 42'!E8/'Teine 42'!D8</f>
        <v>16.45</v>
      </c>
      <c r="F8" s="254">
        <f>E8*'Teine 42'!F8/'Teine 42'!E8</f>
        <v>0.55369999999999997</v>
      </c>
      <c r="G8" s="254">
        <f>F8*'Teine 42'!G8/'Teine 42'!F8</f>
        <v>2.8419999999999996</v>
      </c>
    </row>
    <row r="9" spans="1:7" x14ac:dyDescent="0.25">
      <c r="A9" s="58"/>
      <c r="B9" s="71" t="str">
        <f>'Teine 42'!B9</f>
        <v>Hiina kapsa ja paprika salat</v>
      </c>
      <c r="C9" s="72">
        <v>25</v>
      </c>
      <c r="D9" s="254">
        <f>C9*'Teine 42'!D9/'Teine 42'!C9</f>
        <v>4.84</v>
      </c>
      <c r="E9" s="254">
        <f>D9*'Teine 42'!E9/'Teine 42'!D9</f>
        <v>1.0049999999999999</v>
      </c>
      <c r="F9" s="254">
        <f>E9*'Teine 42'!F9/'Teine 42'!E9</f>
        <v>4.4999999999999998E-2</v>
      </c>
      <c r="G9" s="254">
        <f>F9*'Teine 42'!G9/'Teine 42'!F9</f>
        <v>0.27500000000000002</v>
      </c>
    </row>
    <row r="10" spans="1:7" x14ac:dyDescent="0.25">
      <c r="A10" s="58"/>
      <c r="B10" s="71" t="str">
        <f>'Teine 42'!B10</f>
        <v>Punane kapsas, mais, lillkapsas (aurutatud)</v>
      </c>
      <c r="C10" s="43">
        <v>25</v>
      </c>
      <c r="D10" s="254">
        <f>C10*'Teine 42'!D10/'Teine 42'!C10</f>
        <v>21.335000000000001</v>
      </c>
      <c r="E10" s="254">
        <f>D10*'Teine 42'!E10/'Teine 42'!D10</f>
        <v>4.59</v>
      </c>
      <c r="F10" s="254">
        <f>E10*'Teine 42'!F10/'Teine 42'!E10</f>
        <v>0.17499999999999999</v>
      </c>
      <c r="G10" s="254">
        <f>F10*'Teine 42'!G10/'Teine 42'!F10</f>
        <v>1.34</v>
      </c>
    </row>
    <row r="11" spans="1:7" x14ac:dyDescent="0.25">
      <c r="A11" s="58"/>
      <c r="B11" s="71" t="str">
        <f>'Teine 42'!B11</f>
        <v>Salatikaste</v>
      </c>
      <c r="C11" s="192">
        <v>5</v>
      </c>
      <c r="D11" s="254">
        <f>C11*'Teine 42'!D11/'Teine 42'!C11</f>
        <v>35.25</v>
      </c>
      <c r="E11" s="254">
        <f>D11*'Teine 42'!E11/'Teine 42'!D11</f>
        <v>2.9999999999999995E-2</v>
      </c>
      <c r="F11" s="254">
        <f>E11*'Teine 42'!F11/'Teine 42'!E11</f>
        <v>3.8999999999999995</v>
      </c>
      <c r="G11" s="254">
        <f>F11*'Teine 42'!G11/'Teine 42'!F11</f>
        <v>9.9999999999999985E-3</v>
      </c>
    </row>
    <row r="12" spans="1:7" x14ac:dyDescent="0.25">
      <c r="A12" s="58"/>
      <c r="B12" s="71" t="str">
        <f>'Teine 42'!B12</f>
        <v>Seemnesegu</v>
      </c>
      <c r="C12" s="192">
        <v>10</v>
      </c>
      <c r="D12" s="254">
        <f>C12*'Teine 42'!D12/'Teine 42'!C12</f>
        <v>61.1</v>
      </c>
      <c r="E12" s="254">
        <f>D12*'Teine 42'!E12/'Teine 42'!D12</f>
        <v>1.42</v>
      </c>
      <c r="F12" s="254">
        <f>E12*'Teine 42'!F12/'Teine 42'!E12</f>
        <v>5.3599999999999994</v>
      </c>
      <c r="G12" s="254">
        <f>F12*'Teine 42'!G12/'Teine 42'!F12</f>
        <v>2.2400000000000002</v>
      </c>
    </row>
    <row r="13" spans="1:7" x14ac:dyDescent="0.25">
      <c r="A13" s="59"/>
      <c r="B13" s="71" t="str">
        <f>'Teine 42'!B13</f>
        <v>PRIA Piimatooted (piim, keefir) (L)</v>
      </c>
      <c r="C13" s="195">
        <v>100</v>
      </c>
      <c r="D13" s="254"/>
      <c r="E13" s="254"/>
      <c r="F13" s="254"/>
      <c r="G13" s="254"/>
    </row>
    <row r="14" spans="1:7" x14ac:dyDescent="0.25">
      <c r="A14" s="59"/>
      <c r="B14" s="71" t="str">
        <f>'Teine 42'!B14</f>
        <v>Rukkileiva- ja sepikutoodete valik (G)</v>
      </c>
      <c r="C14" s="193">
        <v>40</v>
      </c>
      <c r="D14" s="254">
        <f>C14*'Teine 42'!D14/'Teine 42'!C14</f>
        <v>92</v>
      </c>
      <c r="E14" s="254">
        <f>D14*'Teine 42'!E14/'Teine 42'!D14</f>
        <v>19.680000000000003</v>
      </c>
      <c r="F14" s="254">
        <f>E14*'Teine 42'!F14/'Teine 42'!E14</f>
        <v>0.66400000000000003</v>
      </c>
      <c r="G14" s="254">
        <f>F14*'Teine 42'!G14/'Teine 42'!F14</f>
        <v>3.1520000000000006</v>
      </c>
    </row>
    <row r="15" spans="1:7" x14ac:dyDescent="0.25">
      <c r="A15" s="58"/>
      <c r="B15" s="71" t="str">
        <f>'Teine 42'!B15</f>
        <v xml:space="preserve">Õun (PRIA) </v>
      </c>
      <c r="C15" s="72">
        <v>100</v>
      </c>
      <c r="D15" s="254">
        <f>C15*'Teine 42'!D15/'Teine 42'!C15</f>
        <v>48.3</v>
      </c>
      <c r="E15" s="254">
        <f>D15*'Teine 42'!E15/'Teine 42'!D15</f>
        <v>10.9</v>
      </c>
      <c r="F15" s="254">
        <f>E15*'Teine 42'!F15/'Teine 42'!E15</f>
        <v>0</v>
      </c>
      <c r="G15" s="254">
        <v>0.3</v>
      </c>
    </row>
    <row r="16" spans="1:7" x14ac:dyDescent="0.25">
      <c r="A16" s="65"/>
      <c r="B16" s="196" t="s">
        <v>8</v>
      </c>
      <c r="C16" s="67"/>
      <c r="D16" s="67">
        <f>SUM(D4:D15)</f>
        <v>721.29442857142851</v>
      </c>
      <c r="E16" s="67">
        <f>SUM(E4:E15)</f>
        <v>109.63614285714287</v>
      </c>
      <c r="F16" s="67">
        <f>SUM(F4:F15)</f>
        <v>20.782642857142857</v>
      </c>
      <c r="G16" s="67">
        <f>SUM(G4:G15)</f>
        <v>28.678008571428574</v>
      </c>
    </row>
    <row r="17" spans="1:7" x14ac:dyDescent="0.25">
      <c r="A17" s="14" t="s">
        <v>79</v>
      </c>
      <c r="B17" s="12" t="s">
        <v>111</v>
      </c>
      <c r="C17" s="314">
        <v>120</v>
      </c>
      <c r="D17" s="262">
        <f>0.86*174.78</f>
        <v>150.3108</v>
      </c>
      <c r="E17" s="262">
        <f>0.86*15.59</f>
        <v>13.407399999999999</v>
      </c>
      <c r="F17" s="262">
        <f>0.86*9.54</f>
        <v>8.2043999999999997</v>
      </c>
      <c r="G17" s="262">
        <f>0.86*7.69</f>
        <v>6.6134000000000004</v>
      </c>
    </row>
    <row r="18" spans="1:7" ht="24" customHeight="1" x14ac:dyDescent="0.25">
      <c r="A18" s="61" t="s">
        <v>9</v>
      </c>
      <c r="B18" s="233"/>
      <c r="C18" s="234" t="s">
        <v>2</v>
      </c>
      <c r="D18" s="234" t="s">
        <v>3</v>
      </c>
      <c r="E18" s="234" t="s">
        <v>4</v>
      </c>
      <c r="F18" s="234" t="s">
        <v>5</v>
      </c>
      <c r="G18" s="234" t="s">
        <v>6</v>
      </c>
    </row>
    <row r="19" spans="1:7" x14ac:dyDescent="0.25">
      <c r="A19" s="71" t="s">
        <v>7</v>
      </c>
      <c r="B19" s="71" t="str">
        <f>'Teine 42'!B19</f>
        <v>Veisehakkliha-pastasupp (G)</v>
      </c>
      <c r="C19" s="72">
        <v>100</v>
      </c>
      <c r="D19" s="79">
        <f>C19*'Teine 42'!D19/'Teine 42'!C19</f>
        <v>113</v>
      </c>
      <c r="E19" s="79">
        <f>D19*'Teine 42'!E19/'Teine 42'!D19</f>
        <v>12.6</v>
      </c>
      <c r="F19" s="79">
        <f>E19*'Teine 42'!F19/'Teine 42'!E19</f>
        <v>4.8519999999999994</v>
      </c>
      <c r="G19" s="79">
        <f>F19*'Teine 42'!G19/'Teine 42'!F19</f>
        <v>4.2999999999999989</v>
      </c>
    </row>
    <row r="20" spans="1:7" x14ac:dyDescent="0.25">
      <c r="A20" s="71"/>
      <c r="B20" s="71" t="str">
        <f>'Teine 42'!B20</f>
        <v>Värskekapsaborš sealihaga</v>
      </c>
      <c r="C20" s="72">
        <v>100</v>
      </c>
      <c r="D20" s="79">
        <f>C20*'Teine 42'!D20/'Teine 42'!C20</f>
        <v>108.19199999999999</v>
      </c>
      <c r="E20" s="79">
        <f>D20*'Teine 42'!E20/'Teine 42'!D20</f>
        <v>10.971999999999998</v>
      </c>
      <c r="F20" s="79">
        <f>E20*'Teine 42'!F20/'Teine 42'!E20</f>
        <v>5.5679999999999996</v>
      </c>
      <c r="G20" s="79">
        <f>F20*'Teine 42'!G20/'Teine 42'!F20</f>
        <v>4.9439999999999991</v>
      </c>
    </row>
    <row r="21" spans="1:7" x14ac:dyDescent="0.25">
      <c r="A21" s="71"/>
      <c r="B21" s="71" t="str">
        <f>'Teine 42'!B21</f>
        <v>Hapukoor (L)</v>
      </c>
      <c r="C21" s="72">
        <v>10</v>
      </c>
      <c r="D21" s="79">
        <f>C21*'Teine 42'!D21/'Teine 42'!C21</f>
        <v>22.2</v>
      </c>
      <c r="E21" s="79">
        <f>D21*'Teine 42'!E21/'Teine 42'!D21</f>
        <v>0.38</v>
      </c>
      <c r="F21" s="79">
        <f>E21*'Teine 42'!F21/'Teine 42'!E21</f>
        <v>2.15</v>
      </c>
      <c r="G21" s="79">
        <f>F21*'Teine 42'!G21/'Teine 42'!F21</f>
        <v>0.33</v>
      </c>
    </row>
    <row r="22" spans="1:7" ht="14.25" customHeight="1" x14ac:dyDescent="0.25">
      <c r="A22" s="71"/>
      <c r="B22" s="71" t="str">
        <f>'Teine 42'!B22</f>
        <v>Kakaotarretis marjapüreega (L)</v>
      </c>
      <c r="C22" s="20">
        <v>160</v>
      </c>
      <c r="D22" s="79">
        <f>C22*'Teine 42'!D22/'Teine 42'!C22</f>
        <v>172.2</v>
      </c>
      <c r="E22" s="79">
        <f>D22*'Teine 42'!E22/'Teine 42'!D22</f>
        <v>20.8</v>
      </c>
      <c r="F22" s="79">
        <f>E22*'Teine 42'!F22/'Teine 42'!E22</f>
        <v>5.4560000000000004</v>
      </c>
      <c r="G22" s="79">
        <f>F22*'Teine 42'!G22/'Teine 42'!F22</f>
        <v>6.1499999999999995</v>
      </c>
    </row>
    <row r="23" spans="1:7" s="53" customFormat="1" x14ac:dyDescent="0.25">
      <c r="A23" s="58"/>
      <c r="B23" s="71" t="str">
        <f>'Teine 42'!B23</f>
        <v>PRIA Piimatooted (piim, keefir) (L)</v>
      </c>
      <c r="C23" s="193">
        <v>100</v>
      </c>
      <c r="D23" s="79"/>
      <c r="E23" s="79"/>
      <c r="F23" s="79"/>
      <c r="G23" s="79"/>
    </row>
    <row r="24" spans="1:7" x14ac:dyDescent="0.25">
      <c r="A24" s="58"/>
      <c r="B24" s="71" t="str">
        <f>'Teine 42'!B24</f>
        <v>Rukkileiva- ja sepikutoodete valik (G)</v>
      </c>
      <c r="C24" s="21">
        <v>40</v>
      </c>
      <c r="D24" s="79">
        <f>C24*'Teine 42'!D24/'Teine 42'!C24</f>
        <v>92</v>
      </c>
      <c r="E24" s="79">
        <f>D24*'Teine 42'!E24/'Teine 42'!D24</f>
        <v>19.680000000000003</v>
      </c>
      <c r="F24" s="79">
        <f>E24*'Teine 42'!F24/'Teine 42'!E24</f>
        <v>0.66400000000000003</v>
      </c>
      <c r="G24" s="79">
        <f>F24*'Teine 42'!G24/'Teine 42'!F24</f>
        <v>3.1520000000000006</v>
      </c>
    </row>
    <row r="25" spans="1:7" s="22" customFormat="1" ht="14.25" customHeight="1" x14ac:dyDescent="0.25">
      <c r="A25" s="59"/>
      <c r="B25" s="71" t="str">
        <f>'Teine 42'!B25</f>
        <v xml:space="preserve">Kaalikas (PRIA) </v>
      </c>
      <c r="C25" s="72">
        <v>100</v>
      </c>
      <c r="D25" s="79">
        <f>C25*'Teine 42'!D25/'Teine 42'!C25</f>
        <v>35.6</v>
      </c>
      <c r="E25" s="79">
        <f>D25*'Teine 42'!E25/'Teine 42'!D25</f>
        <v>6.22</v>
      </c>
      <c r="F25" s="79">
        <f>E25*'Teine 42'!F25/'Teine 42'!E25</f>
        <v>0.1</v>
      </c>
      <c r="G25" s="79">
        <f>F25*'Teine 42'!G25/'Teine 42'!F25</f>
        <v>1.1000000000000001</v>
      </c>
    </row>
    <row r="26" spans="1:7" x14ac:dyDescent="0.25">
      <c r="A26" s="65"/>
      <c r="B26" s="196" t="s">
        <v>8</v>
      </c>
      <c r="C26" s="67"/>
      <c r="D26" s="67">
        <f>SUM(D19:D25)</f>
        <v>543.19200000000001</v>
      </c>
      <c r="E26" s="67">
        <f>SUM(E19:E25)</f>
        <v>70.652000000000001</v>
      </c>
      <c r="F26" s="67">
        <f>SUM(F19:F25)</f>
        <v>18.790000000000003</v>
      </c>
      <c r="G26" s="67">
        <f>SUM(G19:G25)</f>
        <v>19.975999999999999</v>
      </c>
    </row>
    <row r="27" spans="1:7" x14ac:dyDescent="0.25">
      <c r="A27" s="14" t="s">
        <v>79</v>
      </c>
      <c r="B27" s="12" t="s">
        <v>114</v>
      </c>
      <c r="C27" s="314">
        <v>120</v>
      </c>
      <c r="D27" s="262">
        <f>0.86*174.78</f>
        <v>150.3108</v>
      </c>
      <c r="E27" s="262">
        <f>0.86*15.59</f>
        <v>13.407399999999999</v>
      </c>
      <c r="F27" s="262">
        <f>0.86*9.54</f>
        <v>8.2043999999999997</v>
      </c>
      <c r="G27" s="262">
        <f>0.86*7.69</f>
        <v>6.6134000000000004</v>
      </c>
    </row>
    <row r="28" spans="1:7" ht="24" customHeight="1" x14ac:dyDescent="0.25">
      <c r="A28" s="61" t="s">
        <v>10</v>
      </c>
      <c r="B28" s="237"/>
      <c r="C28" s="234" t="s">
        <v>2</v>
      </c>
      <c r="D28" s="234" t="s">
        <v>3</v>
      </c>
      <c r="E28" s="234" t="s">
        <v>4</v>
      </c>
      <c r="F28" s="234" t="s">
        <v>5</v>
      </c>
      <c r="G28" s="234" t="s">
        <v>6</v>
      </c>
    </row>
    <row r="29" spans="1:7" x14ac:dyDescent="0.25">
      <c r="A29" s="71" t="s">
        <v>7</v>
      </c>
      <c r="B29" s="89" t="str">
        <f>'Teine 42'!B29</f>
        <v>Kirju pikkpoiss kanalihast (G) (portsjon)</v>
      </c>
      <c r="C29" s="72">
        <v>50</v>
      </c>
      <c r="D29" s="191">
        <f>C29*'Teine 42'!D29/'Teine 42'!C29</f>
        <v>49.65</v>
      </c>
      <c r="E29" s="191">
        <f>D29*'Teine 42'!E29/'Teine 42'!D29</f>
        <v>1.9750000000000001</v>
      </c>
      <c r="F29" s="191">
        <f>E29*'Teine 42'!F29/'Teine 42'!E29</f>
        <v>1.01</v>
      </c>
      <c r="G29" s="191">
        <f>F29*'Teine 42'!G29/'Teine 42'!F29</f>
        <v>8</v>
      </c>
    </row>
    <row r="30" spans="1:7" x14ac:dyDescent="0.25">
      <c r="A30" s="71"/>
      <c r="B30" s="89" t="str">
        <f>'Teine 42'!B30</f>
        <v>Ahjus küpsetatud sealiha (portsjon)</v>
      </c>
      <c r="C30" s="72">
        <v>30</v>
      </c>
      <c r="D30" s="191">
        <f>C30*'Teine 42'!D30/'Teine 42'!C30</f>
        <v>71.400000000000006</v>
      </c>
      <c r="E30" s="191">
        <f>D30*'Teine 42'!E30/'Teine 42'!D30</f>
        <v>0.12000000000000001</v>
      </c>
      <c r="F30" s="191">
        <f>E30*'Teine 42'!F30/'Teine 42'!E30</f>
        <v>4.38</v>
      </c>
      <c r="G30" s="191">
        <f>F30*'Teine 42'!G30/'Teine 42'!F30</f>
        <v>7.98</v>
      </c>
    </row>
    <row r="31" spans="1:7" x14ac:dyDescent="0.25">
      <c r="A31" s="71"/>
      <c r="B31" s="89" t="str">
        <f>'Teine 42'!B31</f>
        <v>Kartulipüree (L)</v>
      </c>
      <c r="C31" s="72">
        <v>70</v>
      </c>
      <c r="D31" s="191">
        <f>C31*'Teine 42'!D31/'Teine 42'!C31</f>
        <v>62.8992</v>
      </c>
      <c r="E31" s="191">
        <f>D31*'Teine 42'!E31/'Teine 42'!D31</f>
        <v>10.0891</v>
      </c>
      <c r="F31" s="191">
        <f>E31*'Teine 42'!F31/'Teine 42'!E31</f>
        <v>1.6500400000000002</v>
      </c>
      <c r="G31" s="191">
        <f>F31*'Teine 42'!G31/'Teine 42'!F31</f>
        <v>1.6401000000000001</v>
      </c>
    </row>
    <row r="32" spans="1:7" x14ac:dyDescent="0.25">
      <c r="A32" s="59"/>
      <c r="B32" s="89" t="str">
        <f>'Teine 42'!B32</f>
        <v>Röstitud porgandid</v>
      </c>
      <c r="C32" s="72">
        <v>70</v>
      </c>
      <c r="D32" s="191">
        <f>C32*'Teine 42'!D32/'Teine 42'!C32</f>
        <v>35.979999999999997</v>
      </c>
      <c r="E32" s="191">
        <f>D32*'Teine 42'!E32/'Teine 42'!D32</f>
        <v>4.5219999999999994</v>
      </c>
      <c r="F32" s="191">
        <f>E32*'Teine 42'!F32/'Teine 42'!E32</f>
        <v>1.2529999999999999</v>
      </c>
      <c r="G32" s="191">
        <f>F32*'Teine 42'!G32/'Teine 42'!F32</f>
        <v>0.48439999999999989</v>
      </c>
    </row>
    <row r="33" spans="1:7" x14ac:dyDescent="0.25">
      <c r="A33" s="59"/>
      <c r="B33" s="89" t="str">
        <f>'Teine 42'!B33</f>
        <v>Kuskuss, aurutatud (G)</v>
      </c>
      <c r="C33" s="72">
        <v>70</v>
      </c>
      <c r="D33" s="191">
        <f>C33*'Teine 42'!D33/'Teine 42'!C33</f>
        <v>84.83</v>
      </c>
      <c r="E33" s="191">
        <f>D33*'Teine 42'!E33/'Teine 42'!D33</f>
        <v>17.55</v>
      </c>
      <c r="F33" s="191">
        <f>E33*'Teine 42'!F33/'Teine 42'!E33</f>
        <v>0.51</v>
      </c>
      <c r="G33" s="191">
        <f>F33*'Teine 42'!G33/'Teine 42'!F33</f>
        <v>2.89</v>
      </c>
    </row>
    <row r="34" spans="1:7" x14ac:dyDescent="0.25">
      <c r="A34" s="59"/>
      <c r="B34" s="89" t="str">
        <f>'Teine 42'!B34</f>
        <v>Kaalika-õunasalat</v>
      </c>
      <c r="C34" s="72">
        <v>25</v>
      </c>
      <c r="D34" s="191">
        <f>C34*'Teine 42'!D34/'Teine 42'!C34</f>
        <v>13.75</v>
      </c>
      <c r="E34" s="191">
        <f>D34*'Teine 42'!E34/'Teine 42'!D34</f>
        <v>2.44</v>
      </c>
      <c r="F34" s="191">
        <f>E34*'Teine 42'!F34/'Teine 42'!E34</f>
        <v>0.51500000000000001</v>
      </c>
      <c r="G34" s="191">
        <f>F34*'Teine 42'!G34/'Teine 42'!F34</f>
        <v>0.20499999999999999</v>
      </c>
    </row>
    <row r="35" spans="1:7" s="53" customFormat="1" x14ac:dyDescent="0.25">
      <c r="A35" s="58"/>
      <c r="B35" s="89" t="str">
        <f>'Teine 42'!B35</f>
        <v>Peet, kapsas, läätsed (keedetud)</v>
      </c>
      <c r="C35" s="72">
        <v>25</v>
      </c>
      <c r="D35" s="191">
        <f>C35*'Teine 42'!D35/'Teine 42'!C35</f>
        <v>33.505000000000003</v>
      </c>
      <c r="E35" s="191">
        <f>D35*'Teine 42'!E35/'Teine 42'!D35</f>
        <v>6.7450000000000001</v>
      </c>
      <c r="F35" s="191">
        <f>E35*'Teine 42'!F35/'Teine 42'!E35</f>
        <v>0.17</v>
      </c>
      <c r="G35" s="191">
        <f>F35*'Teine 42'!G35/'Teine 42'!F35</f>
        <v>1.9450000000000003</v>
      </c>
    </row>
    <row r="36" spans="1:7" s="53" customFormat="1" x14ac:dyDescent="0.25">
      <c r="A36" s="58"/>
      <c r="B36" s="89" t="str">
        <f>'Teine 42'!B36</f>
        <v>Salatikaste</v>
      </c>
      <c r="C36" s="192">
        <v>5</v>
      </c>
      <c r="D36" s="191">
        <f>C36*'Teine 42'!D36/'Teine 42'!C36</f>
        <v>35.25</v>
      </c>
      <c r="E36" s="191">
        <f>D36*'Teine 42'!E36/'Teine 42'!D36</f>
        <v>2.9999999999999995E-2</v>
      </c>
      <c r="F36" s="191">
        <f>E36*'Teine 42'!F36/'Teine 42'!E36</f>
        <v>3.8999999999999995</v>
      </c>
      <c r="G36" s="191">
        <f>F36*'Teine 42'!G36/'Teine 42'!F36</f>
        <v>9.9999999999999985E-3</v>
      </c>
    </row>
    <row r="37" spans="1:7" s="53" customFormat="1" x14ac:dyDescent="0.25">
      <c r="A37" s="58"/>
      <c r="B37" s="89" t="str">
        <f>'Teine 42'!B37</f>
        <v>Seemnesegu</v>
      </c>
      <c r="C37" s="192">
        <v>10</v>
      </c>
      <c r="D37" s="191">
        <f>C37*'Teine 42'!D37/'Teine 42'!C37</f>
        <v>61.1</v>
      </c>
      <c r="E37" s="191">
        <f>D37*'Teine 42'!E37/'Teine 42'!D37</f>
        <v>1.42</v>
      </c>
      <c r="F37" s="191">
        <f>E37*'Teine 42'!F37/'Teine 42'!E37</f>
        <v>5.3599999999999994</v>
      </c>
      <c r="G37" s="191">
        <f>F37*'Teine 42'!G37/'Teine 42'!F37</f>
        <v>2.2400000000000002</v>
      </c>
    </row>
    <row r="38" spans="1:7" x14ac:dyDescent="0.25">
      <c r="A38" s="71"/>
      <c r="B38" s="89" t="str">
        <f>'Teine 42'!B38</f>
        <v>PRIA Piimatooted (piim, keefir) (L)</v>
      </c>
      <c r="C38" s="200">
        <v>100</v>
      </c>
      <c r="D38" s="191"/>
      <c r="E38" s="191"/>
      <c r="F38" s="191"/>
      <c r="G38" s="191"/>
    </row>
    <row r="39" spans="1:7" s="22" customFormat="1" ht="15.75" customHeight="1" x14ac:dyDescent="0.25">
      <c r="A39" s="58"/>
      <c r="B39" s="89" t="str">
        <f>'Teine 42'!B39</f>
        <v>Rukkileiva- ja sepikutoodete valik (G)</v>
      </c>
      <c r="C39" s="193">
        <v>40</v>
      </c>
      <c r="D39" s="191">
        <f>C39*'Teine 42'!D39/'Teine 42'!C39</f>
        <v>92</v>
      </c>
      <c r="E39" s="191">
        <f>D39*'Teine 42'!E39/'Teine 42'!D39</f>
        <v>19.680000000000003</v>
      </c>
      <c r="F39" s="191">
        <f>E39*'Teine 42'!F39/'Teine 42'!E39</f>
        <v>0.66400000000000003</v>
      </c>
      <c r="G39" s="191">
        <f>F39*'Teine 42'!G39/'Teine 42'!F39</f>
        <v>3.1520000000000006</v>
      </c>
    </row>
    <row r="40" spans="1:7" s="22" customFormat="1" x14ac:dyDescent="0.25">
      <c r="A40" s="59"/>
      <c r="B40" s="89" t="str">
        <f>'Teine 42'!B40</f>
        <v>Ploom(PRIA)</v>
      </c>
      <c r="C40" s="72">
        <v>100</v>
      </c>
      <c r="D40" s="191">
        <f>C40*'Teine 42'!D40/'Teine 42'!C40</f>
        <v>45.7</v>
      </c>
      <c r="E40" s="191">
        <f>D40*'Teine 42'!E40/'Teine 42'!D40</f>
        <v>10.01</v>
      </c>
      <c r="F40" s="191">
        <f>E40*'Teine 42'!F40/'Teine 42'!E40</f>
        <v>0.3</v>
      </c>
      <c r="G40" s="191">
        <f>(F40/'Teine 42'!F40)*'Teine 42'!G40</f>
        <v>0.5</v>
      </c>
    </row>
    <row r="41" spans="1:7" x14ac:dyDescent="0.25">
      <c r="A41" s="65"/>
      <c r="B41" s="196" t="s">
        <v>8</v>
      </c>
      <c r="C41" s="67"/>
      <c r="D41" s="67">
        <f>SUM(D30:D40)</f>
        <v>536.41420000000005</v>
      </c>
      <c r="E41" s="67">
        <f t="shared" ref="E41:G41" si="0">SUM(E30:E40)</f>
        <v>72.606099999999998</v>
      </c>
      <c r="F41" s="67">
        <f t="shared" si="0"/>
        <v>18.70204</v>
      </c>
      <c r="G41" s="67">
        <f t="shared" si="0"/>
        <v>21.046500000000002</v>
      </c>
    </row>
    <row r="42" spans="1:7" x14ac:dyDescent="0.25">
      <c r="A42" s="14" t="s">
        <v>79</v>
      </c>
      <c r="B42" s="12" t="s">
        <v>88</v>
      </c>
      <c r="C42" s="314">
        <v>120</v>
      </c>
      <c r="D42" s="274">
        <f>0.86*198.26</f>
        <v>170.50359999999998</v>
      </c>
      <c r="E42" s="274">
        <f>0.86*28.5</f>
        <v>24.509999999999998</v>
      </c>
      <c r="F42" s="274">
        <f>0.86*9.98</f>
        <v>8.5828000000000007</v>
      </c>
      <c r="G42" s="274">
        <f>0.86*3.6</f>
        <v>3.0960000000000001</v>
      </c>
    </row>
    <row r="43" spans="1:7" s="12" customFormat="1" ht="24" customHeight="1" x14ac:dyDescent="0.25">
      <c r="A43" s="61" t="s">
        <v>11</v>
      </c>
      <c r="B43" s="233"/>
      <c r="C43" s="234" t="s">
        <v>2</v>
      </c>
      <c r="D43" s="234" t="s">
        <v>3</v>
      </c>
      <c r="E43" s="234" t="s">
        <v>4</v>
      </c>
      <c r="F43" s="234" t="s">
        <v>5</v>
      </c>
      <c r="G43" s="234" t="s">
        <v>6</v>
      </c>
    </row>
    <row r="44" spans="1:7" s="53" customFormat="1" x14ac:dyDescent="0.25">
      <c r="A44" s="71" t="s">
        <v>7</v>
      </c>
      <c r="B44" s="71" t="str">
        <f>'Teine 42'!B44</f>
        <v>Kodune kalaseljanka</v>
      </c>
      <c r="C44" s="72">
        <v>100</v>
      </c>
      <c r="D44" s="191">
        <f>(C44/'Teine 42'!C44)*'Teine 42'!D44</f>
        <v>109</v>
      </c>
      <c r="E44" s="191">
        <f>(D44/'Teine 42'!D44)*'Teine 42'!E44</f>
        <v>7.38</v>
      </c>
      <c r="F44" s="191">
        <f>(E44/'Teine 42'!E44)*'Teine 42'!F44</f>
        <v>5.24</v>
      </c>
      <c r="G44" s="191">
        <f>(F44/'Teine 42'!F44)*'Teine 42'!G44</f>
        <v>5.6920000000000002</v>
      </c>
    </row>
    <row r="45" spans="1:7" s="53" customFormat="1" x14ac:dyDescent="0.25">
      <c r="A45" s="71"/>
      <c r="B45" s="71" t="str">
        <f>'Teine 42'!B45</f>
        <v>Külasupp sealihaga (G)</v>
      </c>
      <c r="C45" s="43">
        <v>100</v>
      </c>
      <c r="D45" s="191">
        <f>(C45/'Teine 42'!C45)*'Teine 42'!D45</f>
        <v>70.02000000000001</v>
      </c>
      <c r="E45" s="191">
        <f>(D45/'Teine 42'!D45)*'Teine 42'!E45</f>
        <v>7.3879999999999999</v>
      </c>
      <c r="F45" s="191">
        <f>(E45/'Teine 42'!E45)*'Teine 42'!F45</f>
        <v>3.3920000000000003</v>
      </c>
      <c r="G45" s="191">
        <f>(F45/'Teine 42'!F45)*'Teine 42'!G45</f>
        <v>3.008</v>
      </c>
    </row>
    <row r="46" spans="1:7" x14ac:dyDescent="0.25">
      <c r="A46" s="58"/>
      <c r="B46" s="71" t="str">
        <f>'Teine 42'!B46</f>
        <v>Hapukoor (L)</v>
      </c>
      <c r="C46" s="193">
        <v>10</v>
      </c>
      <c r="D46" s="191">
        <f>(C46/'Teine 42'!C46)*'Teine 42'!D46</f>
        <v>22.2</v>
      </c>
      <c r="E46" s="191">
        <f>(D46/'Teine 42'!D46)*'Teine 42'!E46</f>
        <v>0.38</v>
      </c>
      <c r="F46" s="191">
        <f>(E46/'Teine 42'!E46)*'Teine 42'!F46</f>
        <v>2.15</v>
      </c>
      <c r="G46" s="191">
        <f>(F46/'Teine 42'!F46)*'Teine 42'!G46</f>
        <v>0.33</v>
      </c>
    </row>
    <row r="47" spans="1:7" s="22" customFormat="1" x14ac:dyDescent="0.25">
      <c r="A47" s="59"/>
      <c r="B47" s="71" t="str">
        <f>'Teine 42'!B47</f>
        <v>Mustsõstra-rukkivaht piimaga</v>
      </c>
      <c r="C47" s="195">
        <v>160</v>
      </c>
      <c r="D47" s="191">
        <f>(C47/'Teine 42'!C47)*'Teine 42'!D47</f>
        <v>136</v>
      </c>
      <c r="E47" s="191">
        <f>(D47/'Teine 42'!D47)*'Teine 42'!E47</f>
        <v>29.12</v>
      </c>
      <c r="F47" s="191">
        <f>(E47/'Teine 42'!E47)*'Teine 42'!F47</f>
        <v>0.44600000000000001</v>
      </c>
      <c r="G47" s="191">
        <f>(F47/'Teine 42'!F47)*'Teine 42'!G47</f>
        <v>2.56</v>
      </c>
    </row>
    <row r="48" spans="1:7" s="22" customFormat="1" ht="18.75" customHeight="1" x14ac:dyDescent="0.25">
      <c r="A48" s="59"/>
      <c r="B48" s="71" t="str">
        <f>'Teine 42'!B48</f>
        <v>PRIA Piimatooted (piim, keefir) (L)</v>
      </c>
      <c r="C48" s="267"/>
      <c r="D48" s="191"/>
      <c r="E48" s="191"/>
      <c r="F48" s="191"/>
      <c r="G48" s="191"/>
    </row>
    <row r="49" spans="1:12" x14ac:dyDescent="0.25">
      <c r="A49" s="59"/>
      <c r="B49" s="71" t="str">
        <f>'Teine 42'!B49</f>
        <v xml:space="preserve">Rukkileiva- ja sepikutoodete valik </v>
      </c>
      <c r="C49" s="193">
        <v>40</v>
      </c>
      <c r="D49" s="191">
        <f>(C49/'Teine 42'!C49)*'Teine 42'!D49</f>
        <v>92</v>
      </c>
      <c r="E49" s="191">
        <f>(D49/'Teine 42'!D49)*'Teine 42'!E49</f>
        <v>19.680000000000003</v>
      </c>
      <c r="F49" s="191">
        <f>(E49/'Teine 42'!E49)*'Teine 42'!F49</f>
        <v>0.66400000000000003</v>
      </c>
      <c r="G49" s="191">
        <f>(F49/'Teine 42'!F49)*'Teine 42'!G49</f>
        <v>3.1520000000000001</v>
      </c>
    </row>
    <row r="50" spans="1:12" x14ac:dyDescent="0.25">
      <c r="A50" s="59"/>
      <c r="B50" s="71" t="str">
        <f>'Teine 42'!B50</f>
        <v xml:space="preserve">Porgand (PRIA) </v>
      </c>
      <c r="C50" s="72">
        <v>100</v>
      </c>
      <c r="D50" s="191">
        <f>(C50/'Teine 42'!C50)*'Teine 42'!D50</f>
        <v>32.4</v>
      </c>
      <c r="E50" s="191">
        <f>(D50/'Teine 42'!D50)*'Teine 42'!E50</f>
        <v>5.6</v>
      </c>
      <c r="F50" s="191">
        <f>(E50/'Teine 42'!E50)*'Teine 42'!F50</f>
        <v>0.2</v>
      </c>
      <c r="G50" s="191">
        <f>(F50/'Teine 42'!F50)*'Teine 42'!G50</f>
        <v>0.6</v>
      </c>
    </row>
    <row r="51" spans="1:12" x14ac:dyDescent="0.25">
      <c r="A51" s="65"/>
      <c r="B51" s="196" t="s">
        <v>8</v>
      </c>
      <c r="C51" s="67"/>
      <c r="D51" s="67">
        <f>SUM(D44:D50)</f>
        <v>461.62</v>
      </c>
      <c r="E51" s="67">
        <f>SUM(E44:E50)</f>
        <v>69.548000000000002</v>
      </c>
      <c r="F51" s="67">
        <f>SUM(F44:F50)</f>
        <v>12.092000000000001</v>
      </c>
      <c r="G51" s="67">
        <f>SUM(G44:G50)</f>
        <v>15.342000000000001</v>
      </c>
      <c r="H51" s="40"/>
      <c r="I51" s="40"/>
      <c r="J51" s="40"/>
      <c r="K51" s="40"/>
      <c r="L51" s="40"/>
    </row>
    <row r="52" spans="1:12" x14ac:dyDescent="0.25">
      <c r="A52" s="339" t="s">
        <v>79</v>
      </c>
      <c r="B52" s="41" t="s">
        <v>64</v>
      </c>
      <c r="C52" s="340">
        <v>200</v>
      </c>
      <c r="D52" s="273">
        <f>0.8*247.77</f>
        <v>198.21600000000001</v>
      </c>
      <c r="E52" s="273">
        <f>0.8*34.98</f>
        <v>27.983999999999998</v>
      </c>
      <c r="F52" s="273">
        <f>0.8*7.94</f>
        <v>6.3520000000000003</v>
      </c>
      <c r="G52" s="273">
        <f>0.8*6.343</f>
        <v>5.0744000000000007</v>
      </c>
    </row>
    <row r="53" spans="1:12" ht="24" customHeight="1" x14ac:dyDescent="0.25">
      <c r="A53" s="61" t="s">
        <v>12</v>
      </c>
      <c r="B53" s="237"/>
      <c r="C53" s="234" t="s">
        <v>2</v>
      </c>
      <c r="D53" s="234" t="s">
        <v>3</v>
      </c>
      <c r="E53" s="234" t="s">
        <v>4</v>
      </c>
      <c r="F53" s="234" t="s">
        <v>5</v>
      </c>
      <c r="G53" s="234" t="s">
        <v>6</v>
      </c>
    </row>
    <row r="54" spans="1:12" x14ac:dyDescent="0.25">
      <c r="A54" s="71" t="s">
        <v>7</v>
      </c>
      <c r="B54" s="89" t="str">
        <f>'Teine 42'!B54</f>
        <v>Ühepajatoit sealihaga</v>
      </c>
      <c r="C54" s="72">
        <v>100</v>
      </c>
      <c r="D54" s="191">
        <f>C54*'Teine 42'!D54/'Teine 42'!C54</f>
        <v>93.328571428571422</v>
      </c>
      <c r="E54" s="191">
        <f>D54*'Teine 42'!E54/'Teine 42'!D54</f>
        <v>15.485714285714284</v>
      </c>
      <c r="F54" s="191">
        <f>E54*'Teine 42'!F54/'Teine 42'!E54</f>
        <v>11.535714285714283</v>
      </c>
      <c r="G54" s="191">
        <f>F54*'Teine 42'!G54/'Teine 42'!F54</f>
        <v>6.2999999999999989</v>
      </c>
    </row>
    <row r="55" spans="1:12" x14ac:dyDescent="0.25">
      <c r="A55" s="71"/>
      <c r="B55" s="89" t="str">
        <f>'Teine 42'!B55</f>
        <v>Böfstrooganov (G, L)</v>
      </c>
      <c r="C55" s="72">
        <v>100</v>
      </c>
      <c r="D55" s="191">
        <f>C55*'Teine 42'!D55/'Teine 42'!C55</f>
        <v>168.22857142857143</v>
      </c>
      <c r="E55" s="191">
        <f>D55*'Teine 42'!E55/'Teine 42'!D55</f>
        <v>8.3999999999999986</v>
      </c>
      <c r="F55" s="191">
        <f>E55*'Teine 42'!F55/'Teine 42'!E55</f>
        <v>12.071428571428568</v>
      </c>
      <c r="G55" s="191">
        <f>F55*'Teine 42'!G55/'Teine 42'!F55</f>
        <v>7.0357142857142838</v>
      </c>
    </row>
    <row r="56" spans="1:12" x14ac:dyDescent="0.25">
      <c r="A56" s="71"/>
      <c r="B56" s="89" t="str">
        <f>'Teine 42'!B56</f>
        <v>Kartul, aurutatud</v>
      </c>
      <c r="C56" s="72">
        <v>70</v>
      </c>
      <c r="D56" s="191">
        <f>C56*'Teine 42'!D56/'Teine 42'!C56</f>
        <v>52.483199999999997</v>
      </c>
      <c r="E56" s="191">
        <f>D56*'Teine 42'!E56/'Teine 42'!D56</f>
        <v>12.126799999999999</v>
      </c>
      <c r="F56" s="191">
        <f>E56*'Teine 42'!F56/'Teine 42'!E56</f>
        <v>6.9579999999999989E-2</v>
      </c>
      <c r="G56" s="191">
        <f>F56*'Teine 42'!G56/'Teine 42'!F56</f>
        <v>1.3617799999999998</v>
      </c>
    </row>
    <row r="57" spans="1:12" x14ac:dyDescent="0.25">
      <c r="A57" s="71"/>
      <c r="B57" s="89" t="str">
        <f>'Teine 42'!B57</f>
        <v>Tatar, aurutatud</v>
      </c>
      <c r="C57" s="72">
        <v>70</v>
      </c>
      <c r="D57" s="191">
        <f>C57*'Teine 42'!D57/'Teine 42'!C57</f>
        <v>52.483199999999997</v>
      </c>
      <c r="E57" s="191">
        <f>D57*'Teine 42'!E57/'Teine 42'!D57</f>
        <v>12.126799999999999</v>
      </c>
      <c r="F57" s="191">
        <f>E57*'Teine 42'!F57/'Teine 42'!E57</f>
        <v>6.9579999999999989E-2</v>
      </c>
      <c r="G57" s="191">
        <f>F57*'Teine 42'!G57/'Teine 42'!F57</f>
        <v>1.3617799999999998</v>
      </c>
    </row>
    <row r="58" spans="1:12" x14ac:dyDescent="0.25">
      <c r="A58" s="59"/>
      <c r="B58" s="89" t="str">
        <f>'Teine 42'!B58</f>
        <v>Kruubid, keedetud</v>
      </c>
      <c r="C58" s="72">
        <v>70</v>
      </c>
      <c r="D58" s="191">
        <f>C58*'Teine 42'!D58/'Teine 42'!C58</f>
        <v>79.099999999999994</v>
      </c>
      <c r="E58" s="191">
        <f>D58*'Teine 42'!E58/'Teine 42'!D58</f>
        <v>15.679999999999998</v>
      </c>
      <c r="F58" s="191">
        <f>E58*'Teine 42'!F58/'Teine 42'!E58</f>
        <v>0.49629999999999996</v>
      </c>
      <c r="G58" s="191">
        <f>F58*'Teine 42'!G58/'Teine 42'!F58</f>
        <v>2.0579999999999998</v>
      </c>
    </row>
    <row r="59" spans="1:12" s="53" customFormat="1" x14ac:dyDescent="0.25">
      <c r="A59" s="59"/>
      <c r="B59" s="89" t="str">
        <f>'Teine 42'!B59</f>
        <v>Peedisalat porruga</v>
      </c>
      <c r="C59" s="72">
        <v>25</v>
      </c>
      <c r="D59" s="191">
        <f>C59*'Teine 42'!D59/'Teine 42'!C59</f>
        <v>14.06</v>
      </c>
      <c r="E59" s="191">
        <f>D59*'Teine 42'!E59/'Teine 42'!D59</f>
        <v>2.1349999999999998</v>
      </c>
      <c r="F59" s="191">
        <f>E59*'Teine 42'!F59/'Teine 42'!E59</f>
        <v>0.63</v>
      </c>
      <c r="G59" s="191">
        <f>F59*'Teine 42'!G59/'Teine 42'!F59</f>
        <v>0.27</v>
      </c>
    </row>
    <row r="60" spans="1:12" x14ac:dyDescent="0.25">
      <c r="A60" s="59"/>
      <c r="B60" s="89" t="str">
        <f>'Teine 42'!B60</f>
        <v>Punane kapsas, roheline hernes, marineeritud kurk</v>
      </c>
      <c r="C60" s="238">
        <v>25</v>
      </c>
      <c r="D60" s="191">
        <f>C60*'Teine 42'!D60/'Teine 42'!C60</f>
        <v>14.3</v>
      </c>
      <c r="E60" s="191">
        <f>D60*'Teine 42'!E60/'Teine 42'!D60</f>
        <v>1.43</v>
      </c>
      <c r="F60" s="191">
        <f>E60*'Teine 42'!F60/'Teine 42'!E60</f>
        <v>0.5575</v>
      </c>
      <c r="G60" s="191">
        <f>F60*'Teine 42'!G60/'Teine 42'!F60</f>
        <v>0.45500000000000002</v>
      </c>
    </row>
    <row r="61" spans="1:12" x14ac:dyDescent="0.25">
      <c r="A61" s="59"/>
      <c r="B61" s="89" t="str">
        <f>'Teine 42'!B61</f>
        <v>Salatikaste</v>
      </c>
      <c r="C61" s="72">
        <v>5</v>
      </c>
      <c r="D61" s="191">
        <f>C61*'Teine 42'!D61/'Teine 42'!C61</f>
        <v>35.25</v>
      </c>
      <c r="E61" s="191">
        <f>D61*'Teine 42'!E61/'Teine 42'!D61</f>
        <v>2.9999999999999995E-2</v>
      </c>
      <c r="F61" s="191">
        <f>E61*'Teine 42'!F61/'Teine 42'!E61</f>
        <v>3.8999999999999995</v>
      </c>
      <c r="G61" s="191">
        <f>F61*'Teine 42'!G61/'Teine 42'!F61</f>
        <v>9.9999999999999985E-3</v>
      </c>
    </row>
    <row r="62" spans="1:12" x14ac:dyDescent="0.25">
      <c r="A62" s="59"/>
      <c r="B62" s="89" t="str">
        <f>'Teine 42'!B62</f>
        <v>Seemnesegu</v>
      </c>
      <c r="C62" s="43">
        <v>10</v>
      </c>
      <c r="D62" s="191">
        <f>C62*'Teine 42'!D62/'Teine 42'!C62</f>
        <v>61.099900000000005</v>
      </c>
      <c r="E62" s="191">
        <f>D62*'Teine 42'!E62/'Teine 42'!D62</f>
        <v>1.4199000000000002</v>
      </c>
      <c r="F62" s="191">
        <f>E62*'Teine 42'!F62/'Teine 42'!E62</f>
        <v>5.3599000000000006</v>
      </c>
      <c r="G62" s="191">
        <f>F62*'Teine 42'!G62/'Teine 42'!F62</f>
        <v>2.2399000000000004</v>
      </c>
    </row>
    <row r="63" spans="1:12" x14ac:dyDescent="0.25">
      <c r="A63" s="59"/>
      <c r="B63" s="89" t="str">
        <f>'Teine 42'!B63</f>
        <v>PRIA Piimatooted (piim, keefir) (L)</v>
      </c>
      <c r="C63" s="192">
        <v>100</v>
      </c>
      <c r="D63" s="191"/>
      <c r="E63" s="191"/>
      <c r="F63" s="191"/>
      <c r="G63" s="191"/>
    </row>
    <row r="64" spans="1:12" x14ac:dyDescent="0.25">
      <c r="A64" s="59"/>
      <c r="B64" s="89" t="str">
        <f>'Teine 42'!B64</f>
        <v>Maasika-jogurti smuuti kaerahelvestega (L, G)</v>
      </c>
      <c r="C64" s="192">
        <v>100</v>
      </c>
      <c r="D64" s="191">
        <f>C64*'Teine 42'!D64/'Teine 42'!C64</f>
        <v>116</v>
      </c>
      <c r="E64" s="191">
        <f>D64*'Teine 42'!E64/'Teine 42'!D64</f>
        <v>17.899999999999999</v>
      </c>
      <c r="F64" s="191">
        <f>E64*'Teine 42'!F64/'Teine 42'!E64</f>
        <v>2.37</v>
      </c>
      <c r="G64" s="191">
        <f>F64*'Teine 42'!G64/'Teine 42'!F64</f>
        <v>3.4</v>
      </c>
    </row>
    <row r="65" spans="1:7" x14ac:dyDescent="0.25">
      <c r="A65" s="58"/>
      <c r="B65" s="89" t="str">
        <f>'Teine 42'!B65</f>
        <v>Rukkileiva- ja sepikutoodete valik (G)</v>
      </c>
      <c r="C65" s="80">
        <v>40</v>
      </c>
      <c r="D65" s="191">
        <f>C65*'Teine 42'!D65/'Teine 42'!C65</f>
        <v>92</v>
      </c>
      <c r="E65" s="191">
        <f>D65*'Teine 42'!E65/'Teine 42'!D65</f>
        <v>19.680000000000003</v>
      </c>
      <c r="F65" s="191">
        <f>E65*'Teine 42'!F65/'Teine 42'!E65</f>
        <v>0.66400000000000003</v>
      </c>
      <c r="G65" s="191">
        <f>F65*'Teine 42'!G65/'Teine 42'!F65</f>
        <v>3.1520000000000006</v>
      </c>
    </row>
    <row r="66" spans="1:7" x14ac:dyDescent="0.25">
      <c r="A66" s="58"/>
      <c r="B66" s="89" t="str">
        <f>'Teine 42'!B66</f>
        <v>Banaan</v>
      </c>
      <c r="C66" s="18">
        <v>100</v>
      </c>
      <c r="D66" s="191">
        <f>C66*'Teine 42'!D66/'Teine 42'!C66</f>
        <v>67.599999999999994</v>
      </c>
      <c r="E66" s="191">
        <f>D66*'Teine 42'!E66/'Teine 42'!D66</f>
        <v>15.3</v>
      </c>
      <c r="F66" s="191">
        <f>E66*'Teine 42'!F66/'Teine 42'!E66</f>
        <v>0.2</v>
      </c>
      <c r="G66" s="191">
        <f>F66*'Teine 42'!G66/'Teine 42'!F66</f>
        <v>0.80000000000000016</v>
      </c>
    </row>
    <row r="67" spans="1:7" x14ac:dyDescent="0.25">
      <c r="A67" s="316"/>
      <c r="B67" s="317" t="s">
        <v>8</v>
      </c>
      <c r="C67" s="239"/>
      <c r="D67" s="239">
        <f>SUM(D54:D66)</f>
        <v>845.93344285714295</v>
      </c>
      <c r="E67" s="239">
        <f>SUM(E54:E66)</f>
        <v>121.71421428571428</v>
      </c>
      <c r="F67" s="239">
        <f>SUM(F54:F66)</f>
        <v>37.924002857142852</v>
      </c>
      <c r="G67" s="239">
        <f>SUM(G54:G66)</f>
        <v>28.444174285714279</v>
      </c>
    </row>
    <row r="68" spans="1:7" x14ac:dyDescent="0.25">
      <c r="A68" s="310" t="s">
        <v>79</v>
      </c>
      <c r="B68" s="308" t="s">
        <v>89</v>
      </c>
      <c r="C68" s="313">
        <v>120</v>
      </c>
      <c r="D68" s="26">
        <f>0.86*176.5</f>
        <v>151.79</v>
      </c>
      <c r="E68" s="26">
        <f>0.86*20.8</f>
        <v>17.888000000000002</v>
      </c>
      <c r="F68" s="26">
        <f>0.86*9.65</f>
        <v>8.2989999999999995</v>
      </c>
      <c r="G68" s="26">
        <f>0.86*6.825</f>
        <v>5.8695000000000004</v>
      </c>
    </row>
    <row r="69" spans="1:7" x14ac:dyDescent="0.25">
      <c r="B69" s="16" t="s">
        <v>13</v>
      </c>
      <c r="D69" s="320">
        <f>AVERAGE(D16,D26,D41,D51,D67)</f>
        <v>621.69081428571428</v>
      </c>
      <c r="E69" s="320">
        <f>AVERAGE(E16,E26,E41,E51,E67)</f>
        <v>88.831291428571433</v>
      </c>
      <c r="F69" s="320">
        <f>AVERAGE(F16,F26,F41,F51,F67)</f>
        <v>21.658137142857143</v>
      </c>
      <c r="G69" s="320">
        <f>AVERAGE(G16,G26,G41,G51,G67)</f>
        <v>22.697336571428572</v>
      </c>
    </row>
    <row r="70" spans="1:7" x14ac:dyDescent="0.25">
      <c r="A70" s="303" t="s">
        <v>84</v>
      </c>
      <c r="B70" s="304"/>
    </row>
    <row r="71" spans="1:7" x14ac:dyDescent="0.25">
      <c r="A71" s="41" t="s">
        <v>59</v>
      </c>
      <c r="C71" s="11" t="s">
        <v>15</v>
      </c>
      <c r="D71" s="10"/>
      <c r="E71" s="10"/>
      <c r="F71" s="10"/>
      <c r="G71" s="9"/>
    </row>
  </sheetData>
  <phoneticPr fontId="6" type="noConversion"/>
  <pageMargins left="0.7" right="0.7" top="0.75" bottom="0.75" header="0.3" footer="0.3"/>
  <pageSetup paperSize="9" scale="6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88E0A-E106-4E78-BE73-7F9BEF07183D}">
  <sheetPr>
    <pageSetUpPr fitToPage="1"/>
  </sheetPr>
  <dimension ref="A1:L71"/>
  <sheetViews>
    <sheetView zoomScale="80" zoomScaleNormal="80" workbookViewId="0">
      <selection activeCell="K59" sqref="K59"/>
    </sheetView>
  </sheetViews>
  <sheetFormatPr defaultColWidth="9.28515625" defaultRowHeight="15.75" x14ac:dyDescent="0.25"/>
  <cols>
    <col min="1" max="1" width="23.42578125" style="113" customWidth="1"/>
    <col min="2" max="2" width="53.28515625" style="113" customWidth="1"/>
    <col min="3" max="3" width="12.28515625" style="113" customWidth="1"/>
    <col min="4" max="4" width="13.42578125" style="113" bestFit="1" customWidth="1"/>
    <col min="5" max="5" width="14.7109375" style="113" bestFit="1" customWidth="1"/>
    <col min="6" max="6" width="10.28515625" style="113" bestFit="1" customWidth="1"/>
    <col min="7" max="7" width="10" style="113" bestFit="1" customWidth="1"/>
    <col min="8" max="16384" width="9.28515625" style="113"/>
  </cols>
  <sheetData>
    <row r="1" spans="1:11" x14ac:dyDescent="0.25">
      <c r="B1" s="114"/>
    </row>
    <row r="2" spans="1:11" ht="48.75" customHeight="1" x14ac:dyDescent="0.35">
      <c r="A2" s="133" t="str">
        <f>'Teine 44'!A2</f>
        <v>Koolilõuna 30.10-03.11.2023</v>
      </c>
      <c r="B2" s="134"/>
      <c r="C2" s="10" t="s">
        <v>66</v>
      </c>
      <c r="D2" s="11"/>
    </row>
    <row r="3" spans="1:11" s="119" customFormat="1" ht="24" customHeight="1" x14ac:dyDescent="0.25">
      <c r="A3" s="116" t="s">
        <v>1</v>
      </c>
      <c r="B3" s="117"/>
      <c r="C3" s="118" t="s">
        <v>2</v>
      </c>
      <c r="D3" s="118" t="s">
        <v>3</v>
      </c>
      <c r="E3" s="118" t="s">
        <v>4</v>
      </c>
      <c r="F3" s="118" t="s">
        <v>5</v>
      </c>
      <c r="G3" s="118" t="s">
        <v>6</v>
      </c>
    </row>
    <row r="4" spans="1:11" x14ac:dyDescent="0.25">
      <c r="A4" s="120" t="s">
        <v>7</v>
      </c>
      <c r="B4" s="201" t="str">
        <f>'Teine 44'!B4</f>
        <v>Chilli con carne (mahedamaitseline tšilli)</v>
      </c>
      <c r="C4" s="202">
        <v>60</v>
      </c>
      <c r="D4" s="203">
        <f>C4*'Teine 44'!D4/'Teine 44'!C4</f>
        <v>78.942857142857136</v>
      </c>
      <c r="E4" s="203">
        <f>D4*'Teine 44'!E4/'Teine 44'!D4</f>
        <v>8.507142857142858</v>
      </c>
      <c r="F4" s="203">
        <f>E4*'Teine 44'!F4/'Teine 44'!E4</f>
        <v>3.7199999999999998</v>
      </c>
      <c r="G4" s="203">
        <f>F4*'Teine 44'!G4/'Teine 44'!F4</f>
        <v>3.6257142857142859</v>
      </c>
    </row>
    <row r="5" spans="1:11" x14ac:dyDescent="0.25">
      <c r="A5" s="120"/>
      <c r="B5" s="201" t="str">
        <f>'Teine 44'!B5</f>
        <v>Valge kalafileetükid koorekastmes (L, G)</v>
      </c>
      <c r="C5" s="202">
        <v>60</v>
      </c>
      <c r="D5" s="203">
        <f>C5*'Teine 44'!D5/'Teine 44'!C5</f>
        <v>69.792857142857144</v>
      </c>
      <c r="E5" s="203">
        <f>D5*'Teine 44'!E5/'Teine 44'!D5</f>
        <v>5.1728571428571426</v>
      </c>
      <c r="F5" s="203">
        <f>E5*'Teine 44'!F5/'Teine 44'!E5</f>
        <v>5.4042857142857139</v>
      </c>
      <c r="G5" s="203">
        <f>F5*'Teine 44'!G5/'Teine 44'!F5</f>
        <v>8.0400000000000009</v>
      </c>
    </row>
    <row r="6" spans="1:11" x14ac:dyDescent="0.25">
      <c r="A6" s="120"/>
      <c r="B6" s="201" t="str">
        <f>'Teine 44'!B6</f>
        <v>Kolme riisi segu, aurutatud</v>
      </c>
      <c r="C6" s="202">
        <v>70</v>
      </c>
      <c r="D6" s="203">
        <f>C6*'Teine 44'!D6/'Teine 44'!C6</f>
        <v>111</v>
      </c>
      <c r="E6" s="203">
        <f>D6*'Teine 44'!E6/'Teine 44'!D6</f>
        <v>24.899999999999995</v>
      </c>
      <c r="F6" s="203">
        <f>E6*'Teine 44'!F6/'Teine 44'!E6</f>
        <v>0.39999999999999997</v>
      </c>
      <c r="G6" s="203">
        <f>F6*'Teine 44'!G6/'Teine 44'!F6</f>
        <v>2.4999999999999996</v>
      </c>
    </row>
    <row r="7" spans="1:11" x14ac:dyDescent="0.25">
      <c r="A7" s="121"/>
      <c r="B7" s="201" t="str">
        <f>'Teine 44'!B7</f>
        <v>Täisterapasta/pasta (G)</v>
      </c>
      <c r="C7" s="197">
        <v>100</v>
      </c>
      <c r="D7" s="203">
        <f>C7*'Teine 44'!D7/'Teine 44'!C7</f>
        <v>178.92</v>
      </c>
      <c r="E7" s="203">
        <f>D7*'Teine 44'!E7/'Teine 44'!D7</f>
        <v>34.1</v>
      </c>
      <c r="F7" s="203">
        <f>E7*'Teine 44'!F7/'Teine 44'!E7</f>
        <v>1.4</v>
      </c>
      <c r="G7" s="203">
        <f>F7*'Teine 44'!G7/'Teine 44'!F7</f>
        <v>6.6</v>
      </c>
    </row>
    <row r="8" spans="1:11" x14ac:dyDescent="0.25">
      <c r="A8" s="121"/>
      <c r="B8" s="201" t="str">
        <f>'Teine 44'!B8</f>
        <v>Röstitud peet</v>
      </c>
      <c r="C8" s="203">
        <v>70</v>
      </c>
      <c r="D8" s="203">
        <f>C8*'Teine 44'!D8/'Teine 44'!C8</f>
        <v>41.44</v>
      </c>
      <c r="E8" s="203">
        <f>D8*'Teine 44'!E8/'Teine 44'!D8</f>
        <v>5.5719999999999992</v>
      </c>
      <c r="F8" s="203">
        <f>E8*'Teine 44'!F8/'Teine 44'!E8</f>
        <v>1.2529999999999999</v>
      </c>
      <c r="G8" s="203">
        <f>F8*'Teine 44'!G8/'Teine 44'!F8</f>
        <v>0.95899999999999996</v>
      </c>
    </row>
    <row r="9" spans="1:11" x14ac:dyDescent="0.25">
      <c r="A9" s="121"/>
      <c r="B9" s="201" t="str">
        <f>'Teine 44'!B9</f>
        <v>Kapsasalat magusa maisiga</v>
      </c>
      <c r="C9" s="203">
        <v>25</v>
      </c>
      <c r="D9" s="203">
        <f>C9*'Teine 44'!D9/'Teine 44'!C9</f>
        <v>9.5500000000000007</v>
      </c>
      <c r="E9" s="203">
        <f>D9*'Teine 44'!E9/'Teine 44'!D9</f>
        <v>1.605</v>
      </c>
      <c r="F9" s="203">
        <f>E9*'Teine 44'!F9/'Teine 44'!E9</f>
        <v>7.4249999999999997E-2</v>
      </c>
      <c r="G9" s="203">
        <f>F9*'Teine 44'!G9/'Teine 44'!F9</f>
        <v>0.36249999999999999</v>
      </c>
    </row>
    <row r="10" spans="1:11" x14ac:dyDescent="0.25">
      <c r="A10" s="121"/>
      <c r="B10" s="201" t="str">
        <f>'Teine 44'!B10</f>
        <v>Kaalikas, suvikõrvits, šampinjonid peterselliga</v>
      </c>
      <c r="C10" s="197">
        <v>25</v>
      </c>
      <c r="D10" s="203">
        <f>C10*'Teine 44'!D10/'Teine 44'!C10</f>
        <v>15.5</v>
      </c>
      <c r="E10" s="203">
        <f>D10*'Teine 44'!E10/'Teine 44'!D10</f>
        <v>1.0175000000000001</v>
      </c>
      <c r="F10" s="203">
        <f>E10*'Teine 44'!F10/'Teine 44'!E10</f>
        <v>1.03</v>
      </c>
      <c r="G10" s="203">
        <f>F10*'Teine 44'!G10/'Teine 44'!F10</f>
        <v>0.36749999999999999</v>
      </c>
    </row>
    <row r="11" spans="1:11" x14ac:dyDescent="0.25">
      <c r="A11" s="121"/>
      <c r="B11" s="201" t="str">
        <f>'Teine 44'!B11</f>
        <v>Salatikaste</v>
      </c>
      <c r="C11" s="197">
        <v>5</v>
      </c>
      <c r="D11" s="203">
        <f>C11*'Teine 44'!D11/'Teine 44'!C11</f>
        <v>35.25</v>
      </c>
      <c r="E11" s="203">
        <f>D11*'Teine 44'!E11/'Teine 44'!D11</f>
        <v>2.9999999999999995E-2</v>
      </c>
      <c r="F11" s="203">
        <f>E11*'Teine 44'!F11/'Teine 44'!E11</f>
        <v>3.8999999999999995</v>
      </c>
      <c r="G11" s="203">
        <f>F11*'Teine 44'!G11/'Teine 44'!F11</f>
        <v>9.9999999999999985E-3</v>
      </c>
    </row>
    <row r="12" spans="1:11" x14ac:dyDescent="0.25">
      <c r="A12" s="121"/>
      <c r="B12" s="201" t="str">
        <f>'Teine 44'!B12</f>
        <v>Seemnesegu</v>
      </c>
      <c r="C12" s="204">
        <v>10</v>
      </c>
      <c r="D12" s="203">
        <f>C12*'Teine 44'!D12/'Teine 44'!C12</f>
        <v>61.1</v>
      </c>
      <c r="E12" s="203">
        <f>D12*'Teine 44'!E12/'Teine 44'!D12</f>
        <v>1.42</v>
      </c>
      <c r="F12" s="203">
        <f>E12*'Teine 44'!F12/'Teine 44'!E12</f>
        <v>5.3599999999999994</v>
      </c>
      <c r="G12" s="203">
        <f>F12*'Teine 44'!G12/'Teine 44'!F12</f>
        <v>2.2400000000000002</v>
      </c>
      <c r="H12" s="115"/>
      <c r="I12" s="115"/>
      <c r="J12" s="115"/>
      <c r="K12" s="115"/>
    </row>
    <row r="13" spans="1:11" x14ac:dyDescent="0.25">
      <c r="A13" s="121"/>
      <c r="B13" s="201" t="str">
        <f>'Teine 44'!B13</f>
        <v>PRIA Piimatooted (piim, keefir) (L)</v>
      </c>
      <c r="C13" s="197">
        <v>100</v>
      </c>
      <c r="D13" s="203"/>
      <c r="E13" s="203"/>
      <c r="F13" s="203"/>
      <c r="G13" s="203"/>
      <c r="H13" s="115"/>
      <c r="I13" s="115"/>
      <c r="J13" s="115"/>
      <c r="K13" s="115"/>
    </row>
    <row r="14" spans="1:11" x14ac:dyDescent="0.25">
      <c r="A14" s="121"/>
      <c r="B14" s="201" t="str">
        <f>'Teine 44'!B14</f>
        <v>Rukkileiva- ja sepikutoodete valik (G)</v>
      </c>
      <c r="C14" s="205">
        <v>40</v>
      </c>
      <c r="D14" s="203">
        <f>C14*'Teine 44'!D14/'Teine 44'!C14</f>
        <v>92</v>
      </c>
      <c r="E14" s="203">
        <f>D14*'Teine 44'!E14/'Teine 44'!D14</f>
        <v>19.680000000000003</v>
      </c>
      <c r="F14" s="203">
        <f>E14*'Teine 44'!F14/'Teine 44'!E14</f>
        <v>0.66400000000000003</v>
      </c>
      <c r="G14" s="203">
        <f>F14*'Teine 44'!G14/'Teine 44'!F14</f>
        <v>3.1520000000000006</v>
      </c>
      <c r="I14" s="122"/>
    </row>
    <row r="15" spans="1:11" x14ac:dyDescent="0.25">
      <c r="A15" s="121"/>
      <c r="B15" s="201" t="str">
        <f>'Teine 44'!B15</f>
        <v>Õun (PRIA)</v>
      </c>
      <c r="C15" s="137">
        <v>100</v>
      </c>
      <c r="D15" s="203">
        <f>C15*'Teine 44'!D15/'Teine 44'!C15</f>
        <v>48.3</v>
      </c>
      <c r="E15" s="203">
        <f>D15*'Teine 44'!E15/'Teine 44'!D15</f>
        <v>10.9</v>
      </c>
      <c r="F15" s="203">
        <f>E15*'Teine 44'!F15/'Teine 44'!E15</f>
        <v>0</v>
      </c>
      <c r="G15" s="203">
        <v>0</v>
      </c>
      <c r="I15" s="122"/>
    </row>
    <row r="16" spans="1:11" x14ac:dyDescent="0.25">
      <c r="A16" s="123"/>
      <c r="B16" s="206" t="s">
        <v>8</v>
      </c>
      <c r="C16" s="170"/>
      <c r="D16" s="171">
        <f>SUM(D4:D14)</f>
        <v>693.49571428571426</v>
      </c>
      <c r="E16" s="171">
        <f>SUM(E4:E14)</f>
        <v>102.00450000000002</v>
      </c>
      <c r="F16" s="171">
        <f>SUM(F4:F14)</f>
        <v>23.205535714285713</v>
      </c>
      <c r="G16" s="171">
        <f>SUM(G4:G14)</f>
        <v>27.85671428571429</v>
      </c>
    </row>
    <row r="17" spans="1:8" ht="14.25" customHeight="1" x14ac:dyDescent="0.25">
      <c r="A17" s="14" t="s">
        <v>79</v>
      </c>
      <c r="B17" s="12" t="s">
        <v>90</v>
      </c>
      <c r="C17" s="314">
        <v>120</v>
      </c>
      <c r="D17" s="26">
        <f>0.86*152.2</f>
        <v>130.892</v>
      </c>
      <c r="E17" s="26">
        <f>0.86*16.37</f>
        <v>14.078200000000001</v>
      </c>
      <c r="F17" s="26">
        <f>0.86*4.005</f>
        <v>3.4442999999999997</v>
      </c>
      <c r="G17" s="26">
        <f>0.86*13.365</f>
        <v>11.4939</v>
      </c>
    </row>
    <row r="18" spans="1:8" s="119" customFormat="1" ht="24" customHeight="1" x14ac:dyDescent="0.25">
      <c r="A18" s="116" t="s">
        <v>9</v>
      </c>
      <c r="B18" s="117"/>
      <c r="C18" s="118" t="s">
        <v>2</v>
      </c>
      <c r="D18" s="118" t="s">
        <v>3</v>
      </c>
      <c r="E18" s="118" t="s">
        <v>4</v>
      </c>
      <c r="F18" s="118" t="s">
        <v>5</v>
      </c>
      <c r="G18" s="118" t="s">
        <v>6</v>
      </c>
    </row>
    <row r="19" spans="1:8" x14ac:dyDescent="0.25">
      <c r="A19" s="120" t="s">
        <v>7</v>
      </c>
      <c r="B19" s="207" t="str">
        <f>'Teine 44'!B19</f>
        <v>Peedisupp veiseliha ja riivitud keedumunaga</v>
      </c>
      <c r="C19" s="197">
        <v>100</v>
      </c>
      <c r="D19" s="197">
        <f>C19*'Teine 44'!D19/'Teine 44'!C19</f>
        <v>89</v>
      </c>
      <c r="E19" s="197">
        <f>D19*'Teine 44'!E19/'Teine 44'!D19</f>
        <v>9.6720000000000006</v>
      </c>
      <c r="F19" s="197">
        <f>E19*'Teine 44'!F19/'Teine 44'!E19</f>
        <v>4.2520000000000007</v>
      </c>
      <c r="G19" s="197">
        <f>F19*'Teine 44'!G19/'Teine 44'!F19</f>
        <v>6.1920000000000011</v>
      </c>
    </row>
    <row r="20" spans="1:8" x14ac:dyDescent="0.25">
      <c r="A20" s="120"/>
      <c r="B20" s="207" t="str">
        <f>'Teine 44'!B20</f>
        <v>Hapukoor (L)</v>
      </c>
      <c r="C20" s="197">
        <v>10</v>
      </c>
      <c r="D20" s="197">
        <f>C20*'Teine 44'!D20/'Teine 44'!C20</f>
        <v>22.2</v>
      </c>
      <c r="E20" s="197">
        <f>D20*'Teine 44'!E20/'Teine 44'!D20</f>
        <v>0.38</v>
      </c>
      <c r="F20" s="197">
        <f>E20*'Teine 44'!F20/'Teine 44'!E20</f>
        <v>2.15</v>
      </c>
      <c r="G20" s="197">
        <f>F20*'Teine 44'!G20/'Teine 44'!F20</f>
        <v>0.33</v>
      </c>
    </row>
    <row r="21" spans="1:8" x14ac:dyDescent="0.25">
      <c r="A21" s="120"/>
      <c r="B21" s="207" t="str">
        <f>'Teine 44'!B21</f>
        <v>Kana-nuudlisupp</v>
      </c>
      <c r="C21" s="197">
        <v>100</v>
      </c>
      <c r="D21" s="197">
        <f>C21*'Teine 44'!D21/'Teine 44'!C21</f>
        <v>87.24</v>
      </c>
      <c r="E21" s="197">
        <f>D21*'Teine 44'!E21/'Teine 44'!D21</f>
        <v>9.3360000000000003</v>
      </c>
      <c r="F21" s="197">
        <f>E21*'Teine 44'!F21/'Teine 44'!E21</f>
        <v>2.976</v>
      </c>
      <c r="G21" s="197">
        <f>F21*'Teine 44'!G21/'Teine 44'!F21</f>
        <v>5.2679999999999998</v>
      </c>
    </row>
    <row r="22" spans="1:8" x14ac:dyDescent="0.25">
      <c r="A22" s="120"/>
      <c r="B22" s="207" t="str">
        <f>'Teine 44'!B22</f>
        <v>Vanillipuding punase sõstrapüreega (L)</v>
      </c>
      <c r="C22" s="197">
        <v>160</v>
      </c>
      <c r="D22" s="197">
        <f>C22*'Teine 44'!D22/'Teine 44'!C22</f>
        <v>222.4</v>
      </c>
      <c r="E22" s="197">
        <f>D22*'Teine 44'!E22/'Teine 44'!D22</f>
        <v>35.840000000000003</v>
      </c>
      <c r="F22" s="197">
        <f>E22*'Teine 44'!F22/'Teine 44'!E22</f>
        <v>5.92</v>
      </c>
      <c r="G22" s="197">
        <f>F22*'Teine 44'!G22/'Teine 44'!F22</f>
        <v>5.92</v>
      </c>
    </row>
    <row r="23" spans="1:8" x14ac:dyDescent="0.25">
      <c r="A23" s="121"/>
      <c r="B23" s="207" t="str">
        <f>'Teine 44'!B23</f>
        <v>PRIA Piimatooted (piim, keefir) (L)</v>
      </c>
      <c r="C23" s="204">
        <v>100</v>
      </c>
      <c r="D23" s="197"/>
      <c r="E23" s="197"/>
      <c r="F23" s="197"/>
      <c r="G23" s="197"/>
      <c r="H23" s="115"/>
    </row>
    <row r="24" spans="1:8" x14ac:dyDescent="0.25">
      <c r="A24" s="127"/>
      <c r="B24" s="207" t="str">
        <f>'Teine 44'!B24</f>
        <v>Rukkileiva- ja sepikutoodete valik (G)</v>
      </c>
      <c r="C24" s="197">
        <v>40</v>
      </c>
      <c r="D24" s="197">
        <f>C24*'Teine 44'!D24/'Teine 44'!C24</f>
        <v>92</v>
      </c>
      <c r="E24" s="197">
        <f>D24*'Teine 44'!E24/'Teine 44'!D24</f>
        <v>19.680000000000003</v>
      </c>
      <c r="F24" s="197">
        <f>E24*'Teine 44'!F24/'Teine 44'!E24</f>
        <v>0.66400000000000003</v>
      </c>
      <c r="G24" s="197">
        <f>F24*'Teine 44'!G24/'Teine 44'!F24</f>
        <v>3.1520000000000006</v>
      </c>
    </row>
    <row r="25" spans="1:8" x14ac:dyDescent="0.25">
      <c r="A25" s="120"/>
      <c r="B25" s="207" t="str">
        <f>'Teine 44'!B25</f>
        <v>Porgand (PRIA)</v>
      </c>
      <c r="C25" s="197">
        <v>100</v>
      </c>
      <c r="D25" s="197">
        <f>C25*'Teine 44'!D25/'Teine 44'!C25</f>
        <v>32.4</v>
      </c>
      <c r="E25" s="197">
        <f>D25*'Teine 44'!E25/'Teine 44'!D25</f>
        <v>5.6</v>
      </c>
      <c r="F25" s="197">
        <f>E25*'Teine 44'!F25/'Teine 44'!E25</f>
        <v>0.19999999999999998</v>
      </c>
      <c r="G25" s="197">
        <f>F25*'Teine 44'!G25/'Teine 44'!F25</f>
        <v>0.59999999999999987</v>
      </c>
    </row>
    <row r="26" spans="1:8" x14ac:dyDescent="0.25">
      <c r="A26" s="128"/>
      <c r="B26" s="206" t="s">
        <v>8</v>
      </c>
      <c r="C26" s="124"/>
      <c r="D26" s="125">
        <f>SUM(D19:D25)</f>
        <v>545.24</v>
      </c>
      <c r="E26" s="125">
        <f t="shared" ref="E26:G26" si="0">SUM(E19:E25)</f>
        <v>80.50800000000001</v>
      </c>
      <c r="F26" s="125">
        <f t="shared" si="0"/>
        <v>16.161999999999999</v>
      </c>
      <c r="G26" s="125">
        <f t="shared" si="0"/>
        <v>21.462000000000003</v>
      </c>
    </row>
    <row r="27" spans="1:8" ht="14.25" customHeight="1" x14ac:dyDescent="0.25">
      <c r="A27" s="14" t="s">
        <v>79</v>
      </c>
      <c r="B27" s="12" t="s">
        <v>117</v>
      </c>
      <c r="C27" s="314">
        <v>200</v>
      </c>
      <c r="D27" s="262">
        <f>0.8*184.78</f>
        <v>147.82400000000001</v>
      </c>
      <c r="E27" s="262">
        <f>0.8*17.3</f>
        <v>13.840000000000002</v>
      </c>
      <c r="F27" s="262">
        <f>0.8*9.54</f>
        <v>7.6319999999999997</v>
      </c>
      <c r="G27" s="262">
        <f>0.8*7.69</f>
        <v>6.152000000000001</v>
      </c>
    </row>
    <row r="28" spans="1:8" s="119" customFormat="1" ht="24" customHeight="1" x14ac:dyDescent="0.25">
      <c r="A28" s="129" t="s">
        <v>10</v>
      </c>
      <c r="B28" s="188"/>
      <c r="C28" s="189" t="s">
        <v>2</v>
      </c>
      <c r="D28" s="189" t="s">
        <v>3</v>
      </c>
      <c r="E28" s="118" t="s">
        <v>4</v>
      </c>
      <c r="F28" s="189" t="s">
        <v>5</v>
      </c>
      <c r="G28" s="189" t="s">
        <v>6</v>
      </c>
    </row>
    <row r="29" spans="1:8" x14ac:dyDescent="0.25">
      <c r="A29" s="120" t="s">
        <v>7</v>
      </c>
      <c r="B29" s="208" t="str">
        <f>'Teine 44'!B29</f>
        <v>Hakkliha-porgandipikkpoiss (G) (portsjon)</v>
      </c>
      <c r="C29" s="197">
        <v>50</v>
      </c>
      <c r="D29" s="197">
        <f>C29*'Teine 44'!D29/'Teine 44'!C29</f>
        <v>156</v>
      </c>
      <c r="E29" s="197">
        <f>D29*'Teine 44'!E29/'Teine 44'!D29</f>
        <v>29.44</v>
      </c>
      <c r="F29" s="197">
        <f>E29*'Teine 44'!F29/'Teine 44'!E29</f>
        <v>9.5</v>
      </c>
      <c r="G29" s="197">
        <f>F29*'Teine 44'!G29/'Teine 44'!F29</f>
        <v>11.68</v>
      </c>
    </row>
    <row r="30" spans="1:8" x14ac:dyDescent="0.25">
      <c r="A30" s="121"/>
      <c r="B30" s="208" t="str">
        <f>'Teine 44'!B30</f>
        <v>Küpsetatud kanakitsuliha peterselliga</v>
      </c>
      <c r="C30" s="197">
        <v>50</v>
      </c>
      <c r="D30" s="197">
        <f>C30*'Teine 44'!D30/'Teine 44'!C30</f>
        <v>99.6</v>
      </c>
      <c r="E30" s="197">
        <f>D30*'Teine 44'!E30/'Teine 44'!D30</f>
        <v>0.67999999999999994</v>
      </c>
      <c r="F30" s="197">
        <f>E30*'Teine 44'!F30/'Teine 44'!E30</f>
        <v>4.2599999999999989</v>
      </c>
      <c r="G30" s="197">
        <f>F30*'Teine 44'!G30/'Teine 44'!F30</f>
        <v>14.459999999999997</v>
      </c>
    </row>
    <row r="31" spans="1:8" x14ac:dyDescent="0.25">
      <c r="A31" s="121"/>
      <c r="B31" s="208" t="str">
        <f>'Teine 44'!B31</f>
        <v>Kartuli-kruubipuder (G)</v>
      </c>
      <c r="C31" s="197">
        <v>70</v>
      </c>
      <c r="D31" s="197">
        <f>C31*'Teine 44'!D31/'Teine 44'!C31</f>
        <v>80.5</v>
      </c>
      <c r="E31" s="197">
        <f>D31*'Teine 44'!E31/'Teine 44'!D31</f>
        <v>10.780000000000001</v>
      </c>
      <c r="F31" s="197">
        <f>E31*'Teine 44'!F31/'Teine 44'!E31</f>
        <v>3.3320000000000003</v>
      </c>
      <c r="G31" s="197">
        <f>F31*'Teine 44'!G31/'Teine 44'!F31</f>
        <v>1.4000000000000001</v>
      </c>
    </row>
    <row r="32" spans="1:8" x14ac:dyDescent="0.25">
      <c r="A32" s="121"/>
      <c r="B32" s="208" t="str">
        <f>'Teine 44'!B32</f>
        <v>Tatar, aurutatud</v>
      </c>
      <c r="C32" s="197">
        <v>100</v>
      </c>
      <c r="D32" s="197">
        <f>C32*'Teine 44'!D32/'Teine 44'!C32</f>
        <v>74.975999999999999</v>
      </c>
      <c r="E32" s="197">
        <f>D32*'Teine 44'!E32/'Teine 44'!D32</f>
        <v>17.324000000000002</v>
      </c>
      <c r="F32" s="197">
        <f>E32*'Teine 44'!F32/'Teine 44'!E32</f>
        <v>9.9400000000000002E-2</v>
      </c>
      <c r="G32" s="197">
        <f>F32*'Teine 44'!G32/'Teine 44'!F32</f>
        <v>1.9454</v>
      </c>
    </row>
    <row r="33" spans="1:10" x14ac:dyDescent="0.25">
      <c r="A33" s="121"/>
      <c r="B33" s="208" t="str">
        <f>'Teine 44'!B33</f>
        <v>Hernes-porgand-mais, aurutatud</v>
      </c>
      <c r="C33" s="197">
        <v>70</v>
      </c>
      <c r="D33" s="197">
        <f>C33*'Teine 44'!D33/'Teine 44'!C33</f>
        <v>41.09</v>
      </c>
      <c r="E33" s="197">
        <f>D33*'Teine 44'!E33/'Teine 44'!D33</f>
        <v>6.58</v>
      </c>
      <c r="F33" s="197">
        <f>E33*'Teine 44'!F33/'Teine 44'!E33</f>
        <v>0.30659999999999998</v>
      </c>
      <c r="G33" s="197">
        <f>F33*'Teine 44'!G33/'Teine 44'!F33</f>
        <v>1.68</v>
      </c>
    </row>
    <row r="34" spans="1:10" s="119" customFormat="1" x14ac:dyDescent="0.25">
      <c r="A34" s="121"/>
      <c r="B34" s="208" t="str">
        <f>'Teine 44'!B34</f>
        <v>Soe koorekaste (L, G)</v>
      </c>
      <c r="C34" s="197">
        <v>50</v>
      </c>
      <c r="D34" s="197">
        <f>C34*'Teine 44'!D34/'Teine 44'!C34</f>
        <v>72.5</v>
      </c>
      <c r="E34" s="197">
        <f>D34*'Teine 44'!E34/'Teine 44'!D34</f>
        <v>3.47</v>
      </c>
      <c r="F34" s="197">
        <f>E34*'Teine 44'!F34/'Teine 44'!E34</f>
        <v>5.95</v>
      </c>
      <c r="G34" s="197">
        <f>F34*'Teine 44'!G34/'Teine 44'!F34</f>
        <v>1.1499999999999999</v>
      </c>
    </row>
    <row r="35" spans="1:10" s="119" customFormat="1" x14ac:dyDescent="0.25">
      <c r="A35" s="121"/>
      <c r="B35" s="208" t="str">
        <f>'Teine 44'!B35</f>
        <v>Hiina kapsa salat värske kurgi ja tilliga</v>
      </c>
      <c r="C35" s="197">
        <v>25</v>
      </c>
      <c r="D35" s="197">
        <f>C35*'Teine 44'!D35/'Teine 44'!C35</f>
        <v>7.8</v>
      </c>
      <c r="E35" s="197">
        <f>D35*'Teine 44'!E35/'Teine 44'!D35</f>
        <v>1.7050000000000001</v>
      </c>
      <c r="F35" s="197">
        <f>E35*'Teine 44'!F35/'Teine 44'!E35</f>
        <v>0.45800000000000002</v>
      </c>
      <c r="G35" s="197">
        <f>F35*'Teine 44'!G35/'Teine 44'!F35</f>
        <v>0.3175</v>
      </c>
    </row>
    <row r="36" spans="1:10" x14ac:dyDescent="0.25">
      <c r="A36" s="121"/>
      <c r="B36" s="208" t="str">
        <f>'Teine 44'!B36</f>
        <v>Peet, kapsas, brokoli (aurutatud)</v>
      </c>
      <c r="C36" s="197">
        <v>25</v>
      </c>
      <c r="D36" s="197">
        <f>C36*'Teine 44'!D36/'Teine 44'!C36</f>
        <v>16.774999999999999</v>
      </c>
      <c r="E36" s="197">
        <f>D36*'Teine 44'!E36/'Teine 44'!D36</f>
        <v>1.22</v>
      </c>
      <c r="F36" s="197">
        <f>E36*'Teine 44'!F36/'Teine 44'!E36</f>
        <v>1.01</v>
      </c>
      <c r="G36" s="197">
        <f>F36*'Teine 44'!G36/'Teine 44'!F36</f>
        <v>0.42749999999999999</v>
      </c>
      <c r="H36" s="115"/>
      <c r="I36" s="115"/>
      <c r="J36" s="115"/>
    </row>
    <row r="37" spans="1:10" x14ac:dyDescent="0.25">
      <c r="A37" s="121"/>
      <c r="B37" s="208" t="str">
        <f>'Teine 44'!B37</f>
        <v>Salatikaste</v>
      </c>
      <c r="C37" s="197">
        <v>5</v>
      </c>
      <c r="D37" s="197">
        <f>C37*'Teine 44'!D37/'Teine 44'!C37</f>
        <v>35.25</v>
      </c>
      <c r="E37" s="197">
        <f>D37*'Teine 44'!E37/'Teine 44'!D37</f>
        <v>2.9999999999999995E-2</v>
      </c>
      <c r="F37" s="197">
        <f>E37*'Teine 44'!F37/'Teine 44'!E37</f>
        <v>3.8999999999999995</v>
      </c>
      <c r="G37" s="197">
        <f>F37*'Teine 44'!G37/'Teine 44'!F37</f>
        <v>9.9999999999999985E-3</v>
      </c>
      <c r="H37" s="115"/>
      <c r="I37" s="115"/>
      <c r="J37" s="115"/>
    </row>
    <row r="38" spans="1:10" x14ac:dyDescent="0.25">
      <c r="A38" s="121"/>
      <c r="B38" s="208" t="str">
        <f>'Teine 44'!B38</f>
        <v>Seemnesegu</v>
      </c>
      <c r="C38" s="197">
        <v>10</v>
      </c>
      <c r="D38" s="197">
        <f>C38*'Teine 44'!D38/'Teine 44'!C38</f>
        <v>61.1</v>
      </c>
      <c r="E38" s="197">
        <f>D38*'Teine 44'!E38/'Teine 44'!D38</f>
        <v>1.42</v>
      </c>
      <c r="F38" s="197">
        <f>E38*'Teine 44'!F38/'Teine 44'!E38</f>
        <v>5.3599999999999994</v>
      </c>
      <c r="G38" s="197">
        <f>F38*'Teine 44'!G38/'Teine 44'!F38</f>
        <v>2.2400000000000002</v>
      </c>
      <c r="H38" s="115"/>
      <c r="I38" s="115"/>
      <c r="J38" s="115"/>
    </row>
    <row r="39" spans="1:10" x14ac:dyDescent="0.25">
      <c r="A39" s="127"/>
      <c r="B39" s="208" t="str">
        <f>'Teine 44'!B39</f>
        <v>PRIA Piimatooted (piim, keefir) (L)</v>
      </c>
      <c r="C39" s="204">
        <v>100</v>
      </c>
      <c r="D39" s="197"/>
      <c r="E39" s="197"/>
      <c r="F39" s="197"/>
      <c r="G39" s="197"/>
    </row>
    <row r="40" spans="1:10" x14ac:dyDescent="0.25">
      <c r="A40" s="120"/>
      <c r="B40" s="208" t="str">
        <f>'Teine 44'!B40</f>
        <v>Rukkileiva- ja sepikutoodete valik (G)</v>
      </c>
      <c r="C40" s="197">
        <v>40</v>
      </c>
      <c r="D40" s="197">
        <f>C40*'Teine 44'!D40/'Teine 44'!C40</f>
        <v>92</v>
      </c>
      <c r="E40" s="197">
        <f>D40*'Teine 44'!E40/'Teine 44'!D40</f>
        <v>19.680000000000003</v>
      </c>
      <c r="F40" s="197">
        <f>E40*'Teine 44'!F40/'Teine 44'!E40</f>
        <v>0.66400000000000003</v>
      </c>
      <c r="G40" s="197">
        <f>F40*'Teine 44'!G40/'Teine 44'!F40</f>
        <v>3.1520000000000006</v>
      </c>
    </row>
    <row r="41" spans="1:10" x14ac:dyDescent="0.25">
      <c r="A41" s="127"/>
      <c r="B41" s="208" t="str">
        <f>'Teine 44'!B41</f>
        <v>Ploom (PRIA)</v>
      </c>
      <c r="C41" s="197">
        <v>100</v>
      </c>
      <c r="D41" s="197">
        <f>C41*'Teine 44'!D41/'Teine 44'!C41</f>
        <v>45.7</v>
      </c>
      <c r="E41" s="197">
        <f>D41*'Teine 44'!E41/'Teine 44'!D41</f>
        <v>10.01</v>
      </c>
      <c r="F41" s="197">
        <f>E41*'Teine 44'!F41/'Teine 44'!E41</f>
        <v>0.3</v>
      </c>
      <c r="G41" s="197">
        <f>F41*'Teine 44'!G41/'Teine 44'!F41</f>
        <v>0.5</v>
      </c>
    </row>
    <row r="42" spans="1:10" x14ac:dyDescent="0.25">
      <c r="A42" s="128"/>
      <c r="B42" s="206" t="s">
        <v>8</v>
      </c>
      <c r="C42" s="124"/>
      <c r="D42" s="125">
        <f>SUM(D30:D41)</f>
        <v>627.29100000000005</v>
      </c>
      <c r="E42" s="125">
        <f t="shared" ref="E42:G42" si="1">SUM(E30:E41)</f>
        <v>72.899000000000015</v>
      </c>
      <c r="F42" s="125">
        <f t="shared" si="1"/>
        <v>25.64</v>
      </c>
      <c r="G42" s="125">
        <f t="shared" si="1"/>
        <v>27.282399999999996</v>
      </c>
    </row>
    <row r="43" spans="1:10" ht="14.25" customHeight="1" x14ac:dyDescent="0.25">
      <c r="A43" s="336" t="s">
        <v>79</v>
      </c>
      <c r="B43" s="113" t="s">
        <v>120</v>
      </c>
      <c r="C43" s="314">
        <v>50</v>
      </c>
      <c r="D43" s="337">
        <f>0.66*104.374</f>
        <v>68.886840000000007</v>
      </c>
      <c r="E43" s="337">
        <f>0.66*13.263</f>
        <v>8.7535799999999995</v>
      </c>
      <c r="F43" s="337">
        <f>0.66*3.456</f>
        <v>2.2809599999999999</v>
      </c>
      <c r="G43" s="337">
        <f>0.66*11.05</f>
        <v>7.293000000000001</v>
      </c>
    </row>
    <row r="44" spans="1:10" s="119" customFormat="1" ht="24" customHeight="1" x14ac:dyDescent="0.25">
      <c r="A44" s="129" t="s">
        <v>11</v>
      </c>
      <c r="B44" s="117"/>
      <c r="C44" s="118" t="s">
        <v>2</v>
      </c>
      <c r="D44" s="118" t="s">
        <v>3</v>
      </c>
      <c r="E44" s="118" t="s">
        <v>4</v>
      </c>
      <c r="F44" s="118" t="s">
        <v>5</v>
      </c>
      <c r="G44" s="118" t="s">
        <v>6</v>
      </c>
    </row>
    <row r="45" spans="1:10" x14ac:dyDescent="0.25">
      <c r="A45" s="120" t="s">
        <v>7</v>
      </c>
      <c r="B45" s="208" t="str">
        <f>'Teine 44'!B45</f>
        <v>Koorene mintaifileesupp lillkapsa ja brokoliga</v>
      </c>
      <c r="C45" s="197">
        <v>100</v>
      </c>
      <c r="D45" s="197">
        <f>C45*'Teine 44'!D45/'Teine 44'!C45</f>
        <v>109</v>
      </c>
      <c r="E45" s="197">
        <f>D45*'Teine 44'!E45/'Teine 44'!D45</f>
        <v>9.1120000000000001</v>
      </c>
      <c r="F45" s="197">
        <f>E45*'Teine 44'!F45/'Teine 44'!E45</f>
        <v>5.7600000000000007</v>
      </c>
      <c r="G45" s="197">
        <f>F45*'Teine 44'!G45/'Teine 44'!F45</f>
        <v>3.0920000000000005</v>
      </c>
    </row>
    <row r="46" spans="1:10" x14ac:dyDescent="0.25">
      <c r="A46" s="120"/>
      <c r="B46" s="208" t="str">
        <f>'Teine 44'!B46</f>
        <v>Köögiviljasupp sealihaga</v>
      </c>
      <c r="C46" s="197">
        <v>100</v>
      </c>
      <c r="D46" s="197">
        <f>C46*'Teine 44'!D46/'Teine 44'!C46</f>
        <v>90.8</v>
      </c>
      <c r="E46" s="197">
        <f>D46*'Teine 44'!E46/'Teine 44'!D46</f>
        <v>4.6999999999999993</v>
      </c>
      <c r="F46" s="197">
        <f>E46*'Teine 44'!F46/'Teine 44'!E46</f>
        <v>4.2519999999999998</v>
      </c>
      <c r="G46" s="197">
        <f>F46*'Teine 44'!G46/'Teine 44'!F46</f>
        <v>3.4919999999999995</v>
      </c>
    </row>
    <row r="47" spans="1:10" x14ac:dyDescent="0.25">
      <c r="A47" s="120"/>
      <c r="B47" s="208" t="str">
        <f>'Teine 44'!B47</f>
        <v>Apelsinitarretis vahukoorega (L)</v>
      </c>
      <c r="C47" s="197">
        <v>160</v>
      </c>
      <c r="D47" s="197">
        <f>C47*'Teine 44'!D47/'Teine 44'!C47</f>
        <v>180.8</v>
      </c>
      <c r="E47" s="197">
        <f>D47*'Teine 44'!E47/'Teine 44'!D47</f>
        <v>20.64</v>
      </c>
      <c r="F47" s="197">
        <f>E47*'Teine 44'!F47/'Teine 44'!E47</f>
        <v>6.14</v>
      </c>
      <c r="G47" s="197">
        <f>F47*'Teine 44'!G47/'Teine 44'!F47</f>
        <v>3.9519999999999995</v>
      </c>
    </row>
    <row r="48" spans="1:10" x14ac:dyDescent="0.25">
      <c r="A48" s="127"/>
      <c r="B48" s="208" t="str">
        <f>'Teine 44'!B48</f>
        <v>PRIA Piimatooted (piim, keefir) (L)</v>
      </c>
      <c r="C48" s="204">
        <v>100</v>
      </c>
      <c r="D48" s="197"/>
      <c r="E48" s="197"/>
      <c r="F48" s="197"/>
      <c r="G48" s="197"/>
    </row>
    <row r="49" spans="1:12" ht="14.25" customHeight="1" x14ac:dyDescent="0.25">
      <c r="A49" s="121"/>
      <c r="B49" s="208" t="str">
        <f>'Teine 44'!B49</f>
        <v>Rukkileiva- ja sepikutoodete valik (G)</v>
      </c>
      <c r="C49" s="197">
        <v>40</v>
      </c>
      <c r="D49" s="197"/>
      <c r="E49" s="197">
        <f>D49*'Teine 44'!E49/'Teine 44'!D49</f>
        <v>0</v>
      </c>
      <c r="F49" s="197">
        <f>E49*'Teine 44'!F49/'Teine 44'!E49</f>
        <v>0</v>
      </c>
      <c r="G49" s="197">
        <f>F49*'Teine 44'!G49/'Teine 44'!F49</f>
        <v>0</v>
      </c>
    </row>
    <row r="50" spans="1:12" x14ac:dyDescent="0.25">
      <c r="A50" s="121"/>
      <c r="B50" s="208" t="str">
        <f>'Teine 44'!B50</f>
        <v xml:space="preserve">Kapsas, valge/punane (PRIA) </v>
      </c>
      <c r="C50" s="197">
        <v>100</v>
      </c>
      <c r="D50" s="197">
        <f>C50*'Teine 44'!D50/'Teine 44'!C50</f>
        <v>27.3</v>
      </c>
      <c r="E50" s="197">
        <f>D50*'Teine 44'!E50/'Teine 44'!D50</f>
        <v>4.24</v>
      </c>
      <c r="F50" s="197">
        <f>E50*'Teine 44'!F50/'Teine 44'!E50</f>
        <v>0.2</v>
      </c>
      <c r="G50" s="197">
        <f>F50*'Teine 44'!G50/'Teine 44'!F50</f>
        <v>1.1299999999999999</v>
      </c>
    </row>
    <row r="51" spans="1:12" x14ac:dyDescent="0.25">
      <c r="A51" s="123"/>
      <c r="B51" s="206" t="s">
        <v>8</v>
      </c>
      <c r="C51" s="124"/>
      <c r="D51" s="125">
        <f>SUM(D45:D50)</f>
        <v>407.90000000000003</v>
      </c>
      <c r="E51" s="125">
        <f>SUM(E45:E50)</f>
        <v>38.692</v>
      </c>
      <c r="F51" s="125">
        <f>SUM(F45:F50)</f>
        <v>16.352</v>
      </c>
      <c r="G51" s="125">
        <f>SUM(G45:G50)</f>
        <v>11.666</v>
      </c>
    </row>
    <row r="52" spans="1:12" ht="14.25" customHeight="1" x14ac:dyDescent="0.25">
      <c r="A52" s="14" t="s">
        <v>79</v>
      </c>
      <c r="B52" s="12" t="s">
        <v>91</v>
      </c>
      <c r="C52" s="314">
        <v>200</v>
      </c>
      <c r="D52" s="262">
        <f>0.8*200.25</f>
        <v>160.20000000000002</v>
      </c>
      <c r="E52" s="262">
        <f>0.8*27.6</f>
        <v>22.080000000000002</v>
      </c>
      <c r="F52" s="262">
        <f>0.8*4.3</f>
        <v>3.44</v>
      </c>
      <c r="G52" s="262">
        <f>0.8*6.675</f>
        <v>5.34</v>
      </c>
    </row>
    <row r="53" spans="1:12" s="119" customFormat="1" ht="24" customHeight="1" x14ac:dyDescent="0.25">
      <c r="A53" s="129" t="s">
        <v>12</v>
      </c>
      <c r="B53" s="188"/>
      <c r="C53" s="118" t="s">
        <v>2</v>
      </c>
      <c r="D53" s="118" t="s">
        <v>3</v>
      </c>
      <c r="E53" s="118" t="s">
        <v>4</v>
      </c>
      <c r="F53" s="118" t="s">
        <v>5</v>
      </c>
      <c r="G53" s="118" t="s">
        <v>6</v>
      </c>
    </row>
    <row r="54" spans="1:12" x14ac:dyDescent="0.25">
      <c r="A54" s="175" t="s">
        <v>7</v>
      </c>
      <c r="B54" s="172" t="str">
        <f>'Teine 44'!B54</f>
        <v>Kurzeme strooganov (G, L)</v>
      </c>
      <c r="C54" s="208">
        <v>60</v>
      </c>
      <c r="D54" s="197">
        <f>C54*'Teine 44'!D54/'Teine 44'!C54</f>
        <v>109.50857142857143</v>
      </c>
      <c r="E54" s="197">
        <f>D54*'Teine 44'!E54/'Teine 44'!D54</f>
        <v>8.468571428571428</v>
      </c>
      <c r="F54" s="197">
        <f>E54*'Teine 44'!F54/'Teine 44'!E54</f>
        <v>6.3857142857142852</v>
      </c>
      <c r="G54" s="197">
        <f>F54*'Teine 44'!G54/'Teine 44'!F54</f>
        <v>3.3685714285714283</v>
      </c>
    </row>
    <row r="55" spans="1:12" x14ac:dyDescent="0.25">
      <c r="A55" s="175"/>
      <c r="B55" s="172" t="str">
        <f>'Teine 44'!B55</f>
        <v>Värskekapsa-hakklihahautis</v>
      </c>
      <c r="C55" s="208">
        <v>60</v>
      </c>
      <c r="D55" s="197">
        <f>C55*'Teine 44'!D55/'Teine 44'!C55</f>
        <v>107.4</v>
      </c>
      <c r="E55" s="197">
        <f>D55*'Teine 44'!E55/'Teine 44'!D55</f>
        <v>13.191428571428574</v>
      </c>
      <c r="F55" s="197">
        <f>E55*'Teine 44'!F55/'Teine 44'!E55</f>
        <v>4.4014285714285721</v>
      </c>
      <c r="G55" s="197">
        <f>F55*'Teine 44'!G55/'Teine 44'!F55</f>
        <v>2.8628571428571434</v>
      </c>
    </row>
    <row r="56" spans="1:12" x14ac:dyDescent="0.25">
      <c r="A56" s="376"/>
      <c r="B56" s="172" t="str">
        <f>'Teine 44'!B56</f>
        <v>Ahjukartulid ürtidega</v>
      </c>
      <c r="C56" s="359">
        <v>70</v>
      </c>
      <c r="D56" s="197">
        <f>C56*'Teine 44'!D56/'Teine 44'!C56</f>
        <v>84.191800000000001</v>
      </c>
      <c r="E56" s="197">
        <f>D56*'Teine 44'!E56/'Teine 44'!D56</f>
        <v>16.848299999999998</v>
      </c>
      <c r="F56" s="197">
        <f>E56*'Teine 44'!F56/'Teine 44'!E56</f>
        <v>2.4452399999999996</v>
      </c>
      <c r="G56" s="197">
        <f>F56*'Teine 44'!G56/'Teine 44'!F56</f>
        <v>1.7593799999999997</v>
      </c>
    </row>
    <row r="57" spans="1:12" x14ac:dyDescent="0.25">
      <c r="A57" s="175"/>
      <c r="B57" s="172" t="str">
        <f>'Teine 44'!B57</f>
        <v>Riis, aurutatud</v>
      </c>
      <c r="C57" s="208">
        <v>100</v>
      </c>
      <c r="D57" s="197">
        <f>C57*'Teine 44'!D57/'Teine 44'!C57</f>
        <v>129.22</v>
      </c>
      <c r="E57" s="197">
        <f>D57*'Teine 44'!E57/'Teine 44'!D57</f>
        <v>28.62</v>
      </c>
      <c r="F57" s="197">
        <f>E57*'Teine 44'!F57/'Teine 44'!E57</f>
        <v>0.254</v>
      </c>
      <c r="G57" s="197">
        <f>F57*'Teine 44'!G57/'Teine 44'!F57</f>
        <v>2.9394</v>
      </c>
    </row>
    <row r="58" spans="1:12" x14ac:dyDescent="0.25">
      <c r="A58" s="138"/>
      <c r="B58" s="172" t="str">
        <f>'Teine 44'!B58</f>
        <v>Bulgur, keedetud (G)</v>
      </c>
      <c r="C58" s="208">
        <v>70</v>
      </c>
      <c r="D58" s="197">
        <f>C58*'Teine 44'!D58/'Teine 44'!C58</f>
        <v>85.4</v>
      </c>
      <c r="E58" s="197">
        <f>D58*'Teine 44'!E58/'Teine 44'!D58</f>
        <v>16.45</v>
      </c>
      <c r="F58" s="197">
        <f>E58*'Teine 44'!F58/'Teine 44'!E58</f>
        <v>0.55369999999999997</v>
      </c>
      <c r="G58" s="197">
        <f>F58*'Teine 44'!G58/'Teine 44'!F58</f>
        <v>2.8419999999999996</v>
      </c>
      <c r="H58" s="115"/>
      <c r="I58" s="115"/>
      <c r="J58" s="115"/>
    </row>
    <row r="59" spans="1:12" x14ac:dyDescent="0.25">
      <c r="A59" s="138"/>
      <c r="B59" s="172" t="str">
        <f>'Teine 44'!B59</f>
        <v>Kapsa-juurselleri-õunasalat</v>
      </c>
      <c r="C59" s="208">
        <v>25</v>
      </c>
      <c r="D59" s="197">
        <f>C59*'Teine 44'!D59/'Teine 44'!C59</f>
        <v>12.8</v>
      </c>
      <c r="E59" s="197">
        <f>D59*'Teine 44'!E59/'Teine 44'!D59</f>
        <v>3.4950000000000001</v>
      </c>
      <c r="F59" s="197">
        <f>E59*'Teine 44'!F59/'Teine 44'!E59</f>
        <v>1.05</v>
      </c>
      <c r="G59" s="197">
        <f>F59*'Teine 44'!G59/'Teine 44'!F59</f>
        <v>0.51500000000000001</v>
      </c>
    </row>
    <row r="60" spans="1:12" x14ac:dyDescent="0.25">
      <c r="A60" s="138"/>
      <c r="B60" s="172" t="str">
        <f>'Teine 44'!B60</f>
        <v>Porgand, punane sibul, rohelised herned</v>
      </c>
      <c r="C60" s="208">
        <v>25</v>
      </c>
      <c r="D60" s="197">
        <f>C60*'Teine 44'!D60/'Teine 44'!C60</f>
        <v>20.024999999999999</v>
      </c>
      <c r="E60" s="197">
        <f>D60*'Teine 44'!E60/'Teine 44'!D60</f>
        <v>2.3174999999999999</v>
      </c>
      <c r="F60" s="197">
        <f>E60*'Teine 44'!F60/'Teine 44'!E60</f>
        <v>0.57999999999999996</v>
      </c>
      <c r="G60" s="197">
        <f>F60*'Teine 44'!G60/'Teine 44'!F60</f>
        <v>0.78500000000000003</v>
      </c>
    </row>
    <row r="61" spans="1:12" x14ac:dyDescent="0.25">
      <c r="A61" s="138"/>
      <c r="B61" s="172" t="str">
        <f>'Teine 44'!B61</f>
        <v>Salatikaste</v>
      </c>
      <c r="C61" s="208">
        <v>5</v>
      </c>
      <c r="D61" s="197">
        <f>C61*'Teine 44'!D61/'Teine 44'!C61</f>
        <v>35.25</v>
      </c>
      <c r="E61" s="197">
        <f>D61*'Teine 44'!E61/'Teine 44'!D61</f>
        <v>2.9999999999999995E-2</v>
      </c>
      <c r="F61" s="197">
        <f>E61*'Teine 44'!F61/'Teine 44'!E61</f>
        <v>3.8999999999999995</v>
      </c>
      <c r="G61" s="197">
        <f>F61*'Teine 44'!G61/'Teine 44'!F61</f>
        <v>9.9999999999999985E-3</v>
      </c>
    </row>
    <row r="62" spans="1:12" x14ac:dyDescent="0.25">
      <c r="A62" s="143"/>
      <c r="B62" s="172" t="str">
        <f>'Teine 44'!B62</f>
        <v>Seemnesegu</v>
      </c>
      <c r="C62" s="209">
        <v>10</v>
      </c>
      <c r="D62" s="197">
        <f>C62*'Teine 44'!D62/'Teine 44'!C62</f>
        <v>61.099900000000005</v>
      </c>
      <c r="E62" s="197">
        <f>D62*'Teine 44'!E62/'Teine 44'!D62</f>
        <v>1.4199000000000002</v>
      </c>
      <c r="F62" s="197">
        <f>E62*'Teine 44'!F62/'Teine 44'!E62</f>
        <v>5.3599000000000006</v>
      </c>
      <c r="G62" s="197">
        <f>F62*'Teine 44'!G62/'Teine 44'!F62</f>
        <v>2.2399000000000004</v>
      </c>
      <c r="H62" s="115"/>
      <c r="I62" s="115"/>
      <c r="J62" s="115"/>
      <c r="K62" s="115"/>
      <c r="L62" s="115"/>
    </row>
    <row r="63" spans="1:12" x14ac:dyDescent="0.25">
      <c r="A63" s="138"/>
      <c r="B63" s="172" t="str">
        <f>'Teine 44'!B63</f>
        <v>PRIA Piimatooted (piim, keefir) (L)</v>
      </c>
      <c r="C63" s="208">
        <v>100</v>
      </c>
      <c r="D63" s="197"/>
      <c r="E63" s="197"/>
      <c r="F63" s="197"/>
      <c r="G63" s="197"/>
    </row>
    <row r="64" spans="1:12" x14ac:dyDescent="0.25">
      <c r="A64" s="345"/>
      <c r="B64" s="172" t="str">
        <f>'Teine 44'!B64</f>
        <v>Kakaojook (L)</v>
      </c>
      <c r="C64" s="251">
        <v>100</v>
      </c>
      <c r="D64" s="197">
        <f>C64*'Teine 44'!D64/'Teine 44'!C64</f>
        <v>107</v>
      </c>
      <c r="E64" s="197">
        <f>D64*'Teine 44'!E64/'Teine 44'!D64</f>
        <v>15.7</v>
      </c>
      <c r="F64" s="197">
        <f>E64*'Teine 44'!F64/'Teine 44'!E64</f>
        <v>3.13</v>
      </c>
      <c r="G64" s="197">
        <f>F64*'Teine 44'!G64/'Teine 44'!F64</f>
        <v>3.66</v>
      </c>
    </row>
    <row r="65" spans="1:7" x14ac:dyDescent="0.25">
      <c r="A65" s="143"/>
      <c r="B65" s="172" t="str">
        <f>'Teine 44'!B65</f>
        <v>Rukkileiva- ja sepikutoodete valik (G)</v>
      </c>
      <c r="C65" s="251">
        <v>40</v>
      </c>
      <c r="D65" s="197">
        <f>C65*'Teine 44'!D65/'Teine 44'!C65</f>
        <v>92</v>
      </c>
      <c r="E65" s="197">
        <f>D65*'Teine 44'!E65/'Teine 44'!D65</f>
        <v>19.680000000000003</v>
      </c>
      <c r="F65" s="197">
        <f>E65*'Teine 44'!F65/'Teine 44'!E65</f>
        <v>0.66400000000000003</v>
      </c>
      <c r="G65" s="197">
        <f>F65*'Teine 44'!G65/'Teine 44'!F65</f>
        <v>3.1520000000000006</v>
      </c>
    </row>
    <row r="66" spans="1:7" x14ac:dyDescent="0.25">
      <c r="A66" s="143"/>
      <c r="B66" s="172" t="str">
        <f>'Teine 44'!B66</f>
        <v>Pirn (PRIA)</v>
      </c>
      <c r="C66" s="176">
        <v>100</v>
      </c>
      <c r="D66" s="197">
        <f>C66*'Teine 44'!D66/'Teine 44'!C66</f>
        <v>46.4</v>
      </c>
      <c r="E66" s="197">
        <f>D66*'Teine 44'!E66/'Teine 44'!D66</f>
        <v>10.02</v>
      </c>
      <c r="F66" s="197">
        <f>E66*'Teine 44'!F66/'Teine 44'!E66</f>
        <v>0</v>
      </c>
      <c r="G66" s="197">
        <v>0.3</v>
      </c>
    </row>
    <row r="67" spans="1:7" x14ac:dyDescent="0.25">
      <c r="A67" s="341"/>
      <c r="B67" s="321" t="s">
        <v>8</v>
      </c>
      <c r="C67" s="322"/>
      <c r="D67" s="174">
        <f>SUM(D54:D65)</f>
        <v>843.89527142857139</v>
      </c>
      <c r="E67" s="174">
        <f>SUM(E54:E65)</f>
        <v>126.22070000000002</v>
      </c>
      <c r="F67" s="174">
        <f>SUM(F54:F65)</f>
        <v>28.723982857142857</v>
      </c>
      <c r="G67" s="342">
        <f>F67*'Teine 44'!G67/'Teine 44'!F67</f>
        <v>22.712517280380052</v>
      </c>
    </row>
    <row r="68" spans="1:7" x14ac:dyDescent="0.25">
      <c r="A68" s="315" t="s">
        <v>79</v>
      </c>
      <c r="B68" s="308" t="s">
        <v>135</v>
      </c>
      <c r="C68" s="313">
        <v>120</v>
      </c>
      <c r="D68" s="274">
        <f>0.86*169.89</f>
        <v>146.10539999999997</v>
      </c>
      <c r="E68" s="274">
        <f>0.86*11.235</f>
        <v>9.6620999999999988</v>
      </c>
      <c r="F68" s="274">
        <f>0.86*10.05</f>
        <v>8.6430000000000007</v>
      </c>
      <c r="G68" s="274">
        <f>0.86*5.52</f>
        <v>4.7471999999999994</v>
      </c>
    </row>
    <row r="69" spans="1:7" x14ac:dyDescent="0.25">
      <c r="B69" s="131" t="s">
        <v>13</v>
      </c>
      <c r="D69" s="148">
        <f>AVERAGE(D16,D26,D42,D51,D67)</f>
        <v>623.56439714285716</v>
      </c>
      <c r="E69" s="148">
        <f>AVERAGE(E16,E26,E42,E51,E67)</f>
        <v>84.064840000000018</v>
      </c>
      <c r="F69" s="148">
        <f>AVERAGE(F16,F26,F42,F51,F67)</f>
        <v>22.016703714285715</v>
      </c>
      <c r="G69" s="148">
        <f>AVERAGE(G16,G26,G42,G51,G67)</f>
        <v>22.19592631321887</v>
      </c>
    </row>
    <row r="70" spans="1:7" x14ac:dyDescent="0.25">
      <c r="A70" s="303" t="s">
        <v>84</v>
      </c>
      <c r="B70" s="304"/>
    </row>
    <row r="71" spans="1:7" x14ac:dyDescent="0.25">
      <c r="A71" s="113" t="s">
        <v>59</v>
      </c>
      <c r="C71" s="115" t="s">
        <v>15</v>
      </c>
      <c r="D71" s="132"/>
      <c r="E71" s="132"/>
      <c r="F71" s="132"/>
      <c r="G71" s="119"/>
    </row>
  </sheetData>
  <phoneticPr fontId="6" type="noConversion"/>
  <pageMargins left="0.7" right="0.7" top="0.75" bottom="0.75" header="0.3" footer="0.3"/>
  <pageSetup paperSize="9" scale="63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0D685-DBBB-4A4F-B862-BA884EF3FEF8}">
  <sheetPr>
    <pageSetUpPr fitToPage="1"/>
  </sheetPr>
  <dimension ref="A1:G70"/>
  <sheetViews>
    <sheetView zoomScale="80" zoomScaleNormal="80" workbookViewId="0">
      <selection activeCell="R38" sqref="R38"/>
    </sheetView>
  </sheetViews>
  <sheetFormatPr defaultRowHeight="15.75" x14ac:dyDescent="0.25"/>
  <cols>
    <col min="1" max="1" width="23.7109375" style="22" customWidth="1"/>
    <col min="2" max="2" width="50.7109375" style="19" customWidth="1"/>
    <col min="3" max="3" width="12.7109375" style="19" customWidth="1"/>
    <col min="4" max="4" width="14.5703125" style="19" customWidth="1"/>
    <col min="5" max="5" width="15.42578125" style="19" customWidth="1"/>
    <col min="6" max="7" width="10.7109375" style="19" customWidth="1"/>
    <col min="8" max="257" width="8.7109375" style="22"/>
    <col min="258" max="258" width="37.7109375" style="22" customWidth="1"/>
    <col min="259" max="260" width="14.28515625" style="22" customWidth="1"/>
    <col min="261" max="261" width="13.5703125" style="22" customWidth="1"/>
    <col min="262" max="262" width="15.7109375" style="22" customWidth="1"/>
    <col min="263" max="263" width="15.5703125" style="22" customWidth="1"/>
    <col min="264" max="513" width="8.7109375" style="22"/>
    <col min="514" max="514" width="37.7109375" style="22" customWidth="1"/>
    <col min="515" max="516" width="14.28515625" style="22" customWidth="1"/>
    <col min="517" max="517" width="13.5703125" style="22" customWidth="1"/>
    <col min="518" max="518" width="15.7109375" style="22" customWidth="1"/>
    <col min="519" max="519" width="15.5703125" style="22" customWidth="1"/>
    <col min="520" max="769" width="8.7109375" style="22"/>
    <col min="770" max="770" width="37.7109375" style="22" customWidth="1"/>
    <col min="771" max="772" width="14.28515625" style="22" customWidth="1"/>
    <col min="773" max="773" width="13.5703125" style="22" customWidth="1"/>
    <col min="774" max="774" width="15.7109375" style="22" customWidth="1"/>
    <col min="775" max="775" width="15.5703125" style="22" customWidth="1"/>
    <col min="776" max="1025" width="8.7109375" style="22"/>
    <col min="1026" max="1026" width="37.7109375" style="22" customWidth="1"/>
    <col min="1027" max="1028" width="14.28515625" style="22" customWidth="1"/>
    <col min="1029" max="1029" width="13.5703125" style="22" customWidth="1"/>
    <col min="1030" max="1030" width="15.7109375" style="22" customWidth="1"/>
    <col min="1031" max="1031" width="15.5703125" style="22" customWidth="1"/>
    <col min="1032" max="1281" width="8.7109375" style="22"/>
    <col min="1282" max="1282" width="37.7109375" style="22" customWidth="1"/>
    <col min="1283" max="1284" width="14.28515625" style="22" customWidth="1"/>
    <col min="1285" max="1285" width="13.5703125" style="22" customWidth="1"/>
    <col min="1286" max="1286" width="15.7109375" style="22" customWidth="1"/>
    <col min="1287" max="1287" width="15.5703125" style="22" customWidth="1"/>
    <col min="1288" max="1537" width="8.7109375" style="22"/>
    <col min="1538" max="1538" width="37.7109375" style="22" customWidth="1"/>
    <col min="1539" max="1540" width="14.28515625" style="22" customWidth="1"/>
    <col min="1541" max="1541" width="13.5703125" style="22" customWidth="1"/>
    <col min="1542" max="1542" width="15.7109375" style="22" customWidth="1"/>
    <col min="1543" max="1543" width="15.5703125" style="22" customWidth="1"/>
    <col min="1544" max="1793" width="8.7109375" style="22"/>
    <col min="1794" max="1794" width="37.7109375" style="22" customWidth="1"/>
    <col min="1795" max="1796" width="14.28515625" style="22" customWidth="1"/>
    <col min="1797" max="1797" width="13.5703125" style="22" customWidth="1"/>
    <col min="1798" max="1798" width="15.7109375" style="22" customWidth="1"/>
    <col min="1799" max="1799" width="15.5703125" style="22" customWidth="1"/>
    <col min="1800" max="2049" width="8.7109375" style="22"/>
    <col min="2050" max="2050" width="37.7109375" style="22" customWidth="1"/>
    <col min="2051" max="2052" width="14.28515625" style="22" customWidth="1"/>
    <col min="2053" max="2053" width="13.5703125" style="22" customWidth="1"/>
    <col min="2054" max="2054" width="15.7109375" style="22" customWidth="1"/>
    <col min="2055" max="2055" width="15.5703125" style="22" customWidth="1"/>
    <col min="2056" max="2305" width="8.7109375" style="22"/>
    <col min="2306" max="2306" width="37.7109375" style="22" customWidth="1"/>
    <col min="2307" max="2308" width="14.28515625" style="22" customWidth="1"/>
    <col min="2309" max="2309" width="13.5703125" style="22" customWidth="1"/>
    <col min="2310" max="2310" width="15.7109375" style="22" customWidth="1"/>
    <col min="2311" max="2311" width="15.5703125" style="22" customWidth="1"/>
    <col min="2312" max="2561" width="8.7109375" style="22"/>
    <col min="2562" max="2562" width="37.7109375" style="22" customWidth="1"/>
    <col min="2563" max="2564" width="14.28515625" style="22" customWidth="1"/>
    <col min="2565" max="2565" width="13.5703125" style="22" customWidth="1"/>
    <col min="2566" max="2566" width="15.7109375" style="22" customWidth="1"/>
    <col min="2567" max="2567" width="15.5703125" style="22" customWidth="1"/>
    <col min="2568" max="2817" width="8.7109375" style="22"/>
    <col min="2818" max="2818" width="37.7109375" style="22" customWidth="1"/>
    <col min="2819" max="2820" width="14.28515625" style="22" customWidth="1"/>
    <col min="2821" max="2821" width="13.5703125" style="22" customWidth="1"/>
    <col min="2822" max="2822" width="15.7109375" style="22" customWidth="1"/>
    <col min="2823" max="2823" width="15.5703125" style="22" customWidth="1"/>
    <col min="2824" max="3073" width="8.7109375" style="22"/>
    <col min="3074" max="3074" width="37.7109375" style="22" customWidth="1"/>
    <col min="3075" max="3076" width="14.28515625" style="22" customWidth="1"/>
    <col min="3077" max="3077" width="13.5703125" style="22" customWidth="1"/>
    <col min="3078" max="3078" width="15.7109375" style="22" customWidth="1"/>
    <col min="3079" max="3079" width="15.5703125" style="22" customWidth="1"/>
    <col min="3080" max="3329" width="8.7109375" style="22"/>
    <col min="3330" max="3330" width="37.7109375" style="22" customWidth="1"/>
    <col min="3331" max="3332" width="14.28515625" style="22" customWidth="1"/>
    <col min="3333" max="3333" width="13.5703125" style="22" customWidth="1"/>
    <col min="3334" max="3334" width="15.7109375" style="22" customWidth="1"/>
    <col min="3335" max="3335" width="15.5703125" style="22" customWidth="1"/>
    <col min="3336" max="3585" width="8.7109375" style="22"/>
    <col min="3586" max="3586" width="37.7109375" style="22" customWidth="1"/>
    <col min="3587" max="3588" width="14.28515625" style="22" customWidth="1"/>
    <col min="3589" max="3589" width="13.5703125" style="22" customWidth="1"/>
    <col min="3590" max="3590" width="15.7109375" style="22" customWidth="1"/>
    <col min="3591" max="3591" width="15.5703125" style="22" customWidth="1"/>
    <col min="3592" max="3841" width="8.7109375" style="22"/>
    <col min="3842" max="3842" width="37.7109375" style="22" customWidth="1"/>
    <col min="3843" max="3844" width="14.28515625" style="22" customWidth="1"/>
    <col min="3845" max="3845" width="13.5703125" style="22" customWidth="1"/>
    <col min="3846" max="3846" width="15.7109375" style="22" customWidth="1"/>
    <col min="3847" max="3847" width="15.5703125" style="22" customWidth="1"/>
    <col min="3848" max="4097" width="8.7109375" style="22"/>
    <col min="4098" max="4098" width="37.7109375" style="22" customWidth="1"/>
    <col min="4099" max="4100" width="14.28515625" style="22" customWidth="1"/>
    <col min="4101" max="4101" width="13.5703125" style="22" customWidth="1"/>
    <col min="4102" max="4102" width="15.7109375" style="22" customWidth="1"/>
    <col min="4103" max="4103" width="15.5703125" style="22" customWidth="1"/>
    <col min="4104" max="4353" width="8.7109375" style="22"/>
    <col min="4354" max="4354" width="37.7109375" style="22" customWidth="1"/>
    <col min="4355" max="4356" width="14.28515625" style="22" customWidth="1"/>
    <col min="4357" max="4357" width="13.5703125" style="22" customWidth="1"/>
    <col min="4358" max="4358" width="15.7109375" style="22" customWidth="1"/>
    <col min="4359" max="4359" width="15.5703125" style="22" customWidth="1"/>
    <col min="4360" max="4609" width="8.7109375" style="22"/>
    <col min="4610" max="4610" width="37.7109375" style="22" customWidth="1"/>
    <col min="4611" max="4612" width="14.28515625" style="22" customWidth="1"/>
    <col min="4613" max="4613" width="13.5703125" style="22" customWidth="1"/>
    <col min="4614" max="4614" width="15.7109375" style="22" customWidth="1"/>
    <col min="4615" max="4615" width="15.5703125" style="22" customWidth="1"/>
    <col min="4616" max="4865" width="8.7109375" style="22"/>
    <col min="4866" max="4866" width="37.7109375" style="22" customWidth="1"/>
    <col min="4867" max="4868" width="14.28515625" style="22" customWidth="1"/>
    <col min="4869" max="4869" width="13.5703125" style="22" customWidth="1"/>
    <col min="4870" max="4870" width="15.7109375" style="22" customWidth="1"/>
    <col min="4871" max="4871" width="15.5703125" style="22" customWidth="1"/>
    <col min="4872" max="5121" width="8.7109375" style="22"/>
    <col min="5122" max="5122" width="37.7109375" style="22" customWidth="1"/>
    <col min="5123" max="5124" width="14.28515625" style="22" customWidth="1"/>
    <col min="5125" max="5125" width="13.5703125" style="22" customWidth="1"/>
    <col min="5126" max="5126" width="15.7109375" style="22" customWidth="1"/>
    <col min="5127" max="5127" width="15.5703125" style="22" customWidth="1"/>
    <col min="5128" max="5377" width="8.7109375" style="22"/>
    <col min="5378" max="5378" width="37.7109375" style="22" customWidth="1"/>
    <col min="5379" max="5380" width="14.28515625" style="22" customWidth="1"/>
    <col min="5381" max="5381" width="13.5703125" style="22" customWidth="1"/>
    <col min="5382" max="5382" width="15.7109375" style="22" customWidth="1"/>
    <col min="5383" max="5383" width="15.5703125" style="22" customWidth="1"/>
    <col min="5384" max="5633" width="8.7109375" style="22"/>
    <col min="5634" max="5634" width="37.7109375" style="22" customWidth="1"/>
    <col min="5635" max="5636" width="14.28515625" style="22" customWidth="1"/>
    <col min="5637" max="5637" width="13.5703125" style="22" customWidth="1"/>
    <col min="5638" max="5638" width="15.7109375" style="22" customWidth="1"/>
    <col min="5639" max="5639" width="15.5703125" style="22" customWidth="1"/>
    <col min="5640" max="5889" width="8.7109375" style="22"/>
    <col min="5890" max="5890" width="37.7109375" style="22" customWidth="1"/>
    <col min="5891" max="5892" width="14.28515625" style="22" customWidth="1"/>
    <col min="5893" max="5893" width="13.5703125" style="22" customWidth="1"/>
    <col min="5894" max="5894" width="15.7109375" style="22" customWidth="1"/>
    <col min="5895" max="5895" width="15.5703125" style="22" customWidth="1"/>
    <col min="5896" max="6145" width="8.7109375" style="22"/>
    <col min="6146" max="6146" width="37.7109375" style="22" customWidth="1"/>
    <col min="6147" max="6148" width="14.28515625" style="22" customWidth="1"/>
    <col min="6149" max="6149" width="13.5703125" style="22" customWidth="1"/>
    <col min="6150" max="6150" width="15.7109375" style="22" customWidth="1"/>
    <col min="6151" max="6151" width="15.5703125" style="22" customWidth="1"/>
    <col min="6152" max="6401" width="8.7109375" style="22"/>
    <col min="6402" max="6402" width="37.7109375" style="22" customWidth="1"/>
    <col min="6403" max="6404" width="14.28515625" style="22" customWidth="1"/>
    <col min="6405" max="6405" width="13.5703125" style="22" customWidth="1"/>
    <col min="6406" max="6406" width="15.7109375" style="22" customWidth="1"/>
    <col min="6407" max="6407" width="15.5703125" style="22" customWidth="1"/>
    <col min="6408" max="6657" width="8.7109375" style="22"/>
    <col min="6658" max="6658" width="37.7109375" style="22" customWidth="1"/>
    <col min="6659" max="6660" width="14.28515625" style="22" customWidth="1"/>
    <col min="6661" max="6661" width="13.5703125" style="22" customWidth="1"/>
    <col min="6662" max="6662" width="15.7109375" style="22" customWidth="1"/>
    <col min="6663" max="6663" width="15.5703125" style="22" customWidth="1"/>
    <col min="6664" max="6913" width="8.7109375" style="22"/>
    <col min="6914" max="6914" width="37.7109375" style="22" customWidth="1"/>
    <col min="6915" max="6916" width="14.28515625" style="22" customWidth="1"/>
    <col min="6917" max="6917" width="13.5703125" style="22" customWidth="1"/>
    <col min="6918" max="6918" width="15.7109375" style="22" customWidth="1"/>
    <col min="6919" max="6919" width="15.5703125" style="22" customWidth="1"/>
    <col min="6920" max="7169" width="8.7109375" style="22"/>
    <col min="7170" max="7170" width="37.7109375" style="22" customWidth="1"/>
    <col min="7171" max="7172" width="14.28515625" style="22" customWidth="1"/>
    <col min="7173" max="7173" width="13.5703125" style="22" customWidth="1"/>
    <col min="7174" max="7174" width="15.7109375" style="22" customWidth="1"/>
    <col min="7175" max="7175" width="15.5703125" style="22" customWidth="1"/>
    <col min="7176" max="7425" width="8.7109375" style="22"/>
    <col min="7426" max="7426" width="37.7109375" style="22" customWidth="1"/>
    <col min="7427" max="7428" width="14.28515625" style="22" customWidth="1"/>
    <col min="7429" max="7429" width="13.5703125" style="22" customWidth="1"/>
    <col min="7430" max="7430" width="15.7109375" style="22" customWidth="1"/>
    <col min="7431" max="7431" width="15.5703125" style="22" customWidth="1"/>
    <col min="7432" max="7681" width="8.7109375" style="22"/>
    <col min="7682" max="7682" width="37.7109375" style="22" customWidth="1"/>
    <col min="7683" max="7684" width="14.28515625" style="22" customWidth="1"/>
    <col min="7685" max="7685" width="13.5703125" style="22" customWidth="1"/>
    <col min="7686" max="7686" width="15.7109375" style="22" customWidth="1"/>
    <col min="7687" max="7687" width="15.5703125" style="22" customWidth="1"/>
    <col min="7688" max="7937" width="8.7109375" style="22"/>
    <col min="7938" max="7938" width="37.7109375" style="22" customWidth="1"/>
    <col min="7939" max="7940" width="14.28515625" style="22" customWidth="1"/>
    <col min="7941" max="7941" width="13.5703125" style="22" customWidth="1"/>
    <col min="7942" max="7942" width="15.7109375" style="22" customWidth="1"/>
    <col min="7943" max="7943" width="15.5703125" style="22" customWidth="1"/>
    <col min="7944" max="8193" width="8.7109375" style="22"/>
    <col min="8194" max="8194" width="37.7109375" style="22" customWidth="1"/>
    <col min="8195" max="8196" width="14.28515625" style="22" customWidth="1"/>
    <col min="8197" max="8197" width="13.5703125" style="22" customWidth="1"/>
    <col min="8198" max="8198" width="15.7109375" style="22" customWidth="1"/>
    <col min="8199" max="8199" width="15.5703125" style="22" customWidth="1"/>
    <col min="8200" max="8449" width="8.7109375" style="22"/>
    <col min="8450" max="8450" width="37.7109375" style="22" customWidth="1"/>
    <col min="8451" max="8452" width="14.28515625" style="22" customWidth="1"/>
    <col min="8453" max="8453" width="13.5703125" style="22" customWidth="1"/>
    <col min="8454" max="8454" width="15.7109375" style="22" customWidth="1"/>
    <col min="8455" max="8455" width="15.5703125" style="22" customWidth="1"/>
    <col min="8456" max="8705" width="8.7109375" style="22"/>
    <col min="8706" max="8706" width="37.7109375" style="22" customWidth="1"/>
    <col min="8707" max="8708" width="14.28515625" style="22" customWidth="1"/>
    <col min="8709" max="8709" width="13.5703125" style="22" customWidth="1"/>
    <col min="8710" max="8710" width="15.7109375" style="22" customWidth="1"/>
    <col min="8711" max="8711" width="15.5703125" style="22" customWidth="1"/>
    <col min="8712" max="8961" width="8.7109375" style="22"/>
    <col min="8962" max="8962" width="37.7109375" style="22" customWidth="1"/>
    <col min="8963" max="8964" width="14.28515625" style="22" customWidth="1"/>
    <col min="8965" max="8965" width="13.5703125" style="22" customWidth="1"/>
    <col min="8966" max="8966" width="15.7109375" style="22" customWidth="1"/>
    <col min="8967" max="8967" width="15.5703125" style="22" customWidth="1"/>
    <col min="8968" max="9217" width="8.7109375" style="22"/>
    <col min="9218" max="9218" width="37.7109375" style="22" customWidth="1"/>
    <col min="9219" max="9220" width="14.28515625" style="22" customWidth="1"/>
    <col min="9221" max="9221" width="13.5703125" style="22" customWidth="1"/>
    <col min="9222" max="9222" width="15.7109375" style="22" customWidth="1"/>
    <col min="9223" max="9223" width="15.5703125" style="22" customWidth="1"/>
    <col min="9224" max="9473" width="8.7109375" style="22"/>
    <col min="9474" max="9474" width="37.7109375" style="22" customWidth="1"/>
    <col min="9475" max="9476" width="14.28515625" style="22" customWidth="1"/>
    <col min="9477" max="9477" width="13.5703125" style="22" customWidth="1"/>
    <col min="9478" max="9478" width="15.7109375" style="22" customWidth="1"/>
    <col min="9479" max="9479" width="15.5703125" style="22" customWidth="1"/>
    <col min="9480" max="9729" width="8.7109375" style="22"/>
    <col min="9730" max="9730" width="37.7109375" style="22" customWidth="1"/>
    <col min="9731" max="9732" width="14.28515625" style="22" customWidth="1"/>
    <col min="9733" max="9733" width="13.5703125" style="22" customWidth="1"/>
    <col min="9734" max="9734" width="15.7109375" style="22" customWidth="1"/>
    <col min="9735" max="9735" width="15.5703125" style="22" customWidth="1"/>
    <col min="9736" max="9985" width="8.7109375" style="22"/>
    <col min="9986" max="9986" width="37.7109375" style="22" customWidth="1"/>
    <col min="9987" max="9988" width="14.28515625" style="22" customWidth="1"/>
    <col min="9989" max="9989" width="13.5703125" style="22" customWidth="1"/>
    <col min="9990" max="9990" width="15.7109375" style="22" customWidth="1"/>
    <col min="9991" max="9991" width="15.5703125" style="22" customWidth="1"/>
    <col min="9992" max="10241" width="8.7109375" style="22"/>
    <col min="10242" max="10242" width="37.7109375" style="22" customWidth="1"/>
    <col min="10243" max="10244" width="14.28515625" style="22" customWidth="1"/>
    <col min="10245" max="10245" width="13.5703125" style="22" customWidth="1"/>
    <col min="10246" max="10246" width="15.7109375" style="22" customWidth="1"/>
    <col min="10247" max="10247" width="15.5703125" style="22" customWidth="1"/>
    <col min="10248" max="10497" width="8.7109375" style="22"/>
    <col min="10498" max="10498" width="37.7109375" style="22" customWidth="1"/>
    <col min="10499" max="10500" width="14.28515625" style="22" customWidth="1"/>
    <col min="10501" max="10501" width="13.5703125" style="22" customWidth="1"/>
    <col min="10502" max="10502" width="15.7109375" style="22" customWidth="1"/>
    <col min="10503" max="10503" width="15.5703125" style="22" customWidth="1"/>
    <col min="10504" max="10753" width="8.7109375" style="22"/>
    <col min="10754" max="10754" width="37.7109375" style="22" customWidth="1"/>
    <col min="10755" max="10756" width="14.28515625" style="22" customWidth="1"/>
    <col min="10757" max="10757" width="13.5703125" style="22" customWidth="1"/>
    <col min="10758" max="10758" width="15.7109375" style="22" customWidth="1"/>
    <col min="10759" max="10759" width="15.5703125" style="22" customWidth="1"/>
    <col min="10760" max="11009" width="8.7109375" style="22"/>
    <col min="11010" max="11010" width="37.7109375" style="22" customWidth="1"/>
    <col min="11011" max="11012" width="14.28515625" style="22" customWidth="1"/>
    <col min="11013" max="11013" width="13.5703125" style="22" customWidth="1"/>
    <col min="11014" max="11014" width="15.7109375" style="22" customWidth="1"/>
    <col min="11015" max="11015" width="15.5703125" style="22" customWidth="1"/>
    <col min="11016" max="11265" width="8.7109375" style="22"/>
    <col min="11266" max="11266" width="37.7109375" style="22" customWidth="1"/>
    <col min="11267" max="11268" width="14.28515625" style="22" customWidth="1"/>
    <col min="11269" max="11269" width="13.5703125" style="22" customWidth="1"/>
    <col min="11270" max="11270" width="15.7109375" style="22" customWidth="1"/>
    <col min="11271" max="11271" width="15.5703125" style="22" customWidth="1"/>
    <col min="11272" max="11521" width="8.7109375" style="22"/>
    <col min="11522" max="11522" width="37.7109375" style="22" customWidth="1"/>
    <col min="11523" max="11524" width="14.28515625" style="22" customWidth="1"/>
    <col min="11525" max="11525" width="13.5703125" style="22" customWidth="1"/>
    <col min="11526" max="11526" width="15.7109375" style="22" customWidth="1"/>
    <col min="11527" max="11527" width="15.5703125" style="22" customWidth="1"/>
    <col min="11528" max="11777" width="8.7109375" style="22"/>
    <col min="11778" max="11778" width="37.7109375" style="22" customWidth="1"/>
    <col min="11779" max="11780" width="14.28515625" style="22" customWidth="1"/>
    <col min="11781" max="11781" width="13.5703125" style="22" customWidth="1"/>
    <col min="11782" max="11782" width="15.7109375" style="22" customWidth="1"/>
    <col min="11783" max="11783" width="15.5703125" style="22" customWidth="1"/>
    <col min="11784" max="12033" width="8.7109375" style="22"/>
    <col min="12034" max="12034" width="37.7109375" style="22" customWidth="1"/>
    <col min="12035" max="12036" width="14.28515625" style="22" customWidth="1"/>
    <col min="12037" max="12037" width="13.5703125" style="22" customWidth="1"/>
    <col min="12038" max="12038" width="15.7109375" style="22" customWidth="1"/>
    <col min="12039" max="12039" width="15.5703125" style="22" customWidth="1"/>
    <col min="12040" max="12289" width="8.7109375" style="22"/>
    <col min="12290" max="12290" width="37.7109375" style="22" customWidth="1"/>
    <col min="12291" max="12292" width="14.28515625" style="22" customWidth="1"/>
    <col min="12293" max="12293" width="13.5703125" style="22" customWidth="1"/>
    <col min="12294" max="12294" width="15.7109375" style="22" customWidth="1"/>
    <col min="12295" max="12295" width="15.5703125" style="22" customWidth="1"/>
    <col min="12296" max="12545" width="8.7109375" style="22"/>
    <col min="12546" max="12546" width="37.7109375" style="22" customWidth="1"/>
    <col min="12547" max="12548" width="14.28515625" style="22" customWidth="1"/>
    <col min="12549" max="12549" width="13.5703125" style="22" customWidth="1"/>
    <col min="12550" max="12550" width="15.7109375" style="22" customWidth="1"/>
    <col min="12551" max="12551" width="15.5703125" style="22" customWidth="1"/>
    <col min="12552" max="12801" width="8.7109375" style="22"/>
    <col min="12802" max="12802" width="37.7109375" style="22" customWidth="1"/>
    <col min="12803" max="12804" width="14.28515625" style="22" customWidth="1"/>
    <col min="12805" max="12805" width="13.5703125" style="22" customWidth="1"/>
    <col min="12806" max="12806" width="15.7109375" style="22" customWidth="1"/>
    <col min="12807" max="12807" width="15.5703125" style="22" customWidth="1"/>
    <col min="12808" max="13057" width="8.7109375" style="22"/>
    <col min="13058" max="13058" width="37.7109375" style="22" customWidth="1"/>
    <col min="13059" max="13060" width="14.28515625" style="22" customWidth="1"/>
    <col min="13061" max="13061" width="13.5703125" style="22" customWidth="1"/>
    <col min="13062" max="13062" width="15.7109375" style="22" customWidth="1"/>
    <col min="13063" max="13063" width="15.5703125" style="22" customWidth="1"/>
    <col min="13064" max="13313" width="8.7109375" style="22"/>
    <col min="13314" max="13314" width="37.7109375" style="22" customWidth="1"/>
    <col min="13315" max="13316" width="14.28515625" style="22" customWidth="1"/>
    <col min="13317" max="13317" width="13.5703125" style="22" customWidth="1"/>
    <col min="13318" max="13318" width="15.7109375" style="22" customWidth="1"/>
    <col min="13319" max="13319" width="15.5703125" style="22" customWidth="1"/>
    <col min="13320" max="13569" width="8.7109375" style="22"/>
    <col min="13570" max="13570" width="37.7109375" style="22" customWidth="1"/>
    <col min="13571" max="13572" width="14.28515625" style="22" customWidth="1"/>
    <col min="13573" max="13573" width="13.5703125" style="22" customWidth="1"/>
    <col min="13574" max="13574" width="15.7109375" style="22" customWidth="1"/>
    <col min="13575" max="13575" width="15.5703125" style="22" customWidth="1"/>
    <col min="13576" max="13825" width="8.7109375" style="22"/>
    <col min="13826" max="13826" width="37.7109375" style="22" customWidth="1"/>
    <col min="13827" max="13828" width="14.28515625" style="22" customWidth="1"/>
    <col min="13829" max="13829" width="13.5703125" style="22" customWidth="1"/>
    <col min="13830" max="13830" width="15.7109375" style="22" customWidth="1"/>
    <col min="13831" max="13831" width="15.5703125" style="22" customWidth="1"/>
    <col min="13832" max="14081" width="8.7109375" style="22"/>
    <col min="14082" max="14082" width="37.7109375" style="22" customWidth="1"/>
    <col min="14083" max="14084" width="14.28515625" style="22" customWidth="1"/>
    <col min="14085" max="14085" width="13.5703125" style="22" customWidth="1"/>
    <col min="14086" max="14086" width="15.7109375" style="22" customWidth="1"/>
    <col min="14087" max="14087" width="15.5703125" style="22" customWidth="1"/>
    <col min="14088" max="14337" width="8.7109375" style="22"/>
    <col min="14338" max="14338" width="37.7109375" style="22" customWidth="1"/>
    <col min="14339" max="14340" width="14.28515625" style="22" customWidth="1"/>
    <col min="14341" max="14341" width="13.5703125" style="22" customWidth="1"/>
    <col min="14342" max="14342" width="15.7109375" style="22" customWidth="1"/>
    <col min="14343" max="14343" width="15.5703125" style="22" customWidth="1"/>
    <col min="14344" max="14593" width="8.7109375" style="22"/>
    <col min="14594" max="14594" width="37.7109375" style="22" customWidth="1"/>
    <col min="14595" max="14596" width="14.28515625" style="22" customWidth="1"/>
    <col min="14597" max="14597" width="13.5703125" style="22" customWidth="1"/>
    <col min="14598" max="14598" width="15.7109375" style="22" customWidth="1"/>
    <col min="14599" max="14599" width="15.5703125" style="22" customWidth="1"/>
    <col min="14600" max="14849" width="8.7109375" style="22"/>
    <col min="14850" max="14850" width="37.7109375" style="22" customWidth="1"/>
    <col min="14851" max="14852" width="14.28515625" style="22" customWidth="1"/>
    <col min="14853" max="14853" width="13.5703125" style="22" customWidth="1"/>
    <col min="14854" max="14854" width="15.7109375" style="22" customWidth="1"/>
    <col min="14855" max="14855" width="15.5703125" style="22" customWidth="1"/>
    <col min="14856" max="15105" width="8.7109375" style="22"/>
    <col min="15106" max="15106" width="37.7109375" style="22" customWidth="1"/>
    <col min="15107" max="15108" width="14.28515625" style="22" customWidth="1"/>
    <col min="15109" max="15109" width="13.5703125" style="22" customWidth="1"/>
    <col min="15110" max="15110" width="15.7109375" style="22" customWidth="1"/>
    <col min="15111" max="15111" width="15.5703125" style="22" customWidth="1"/>
    <col min="15112" max="15361" width="8.7109375" style="22"/>
    <col min="15362" max="15362" width="37.7109375" style="22" customWidth="1"/>
    <col min="15363" max="15364" width="14.28515625" style="22" customWidth="1"/>
    <col min="15365" max="15365" width="13.5703125" style="22" customWidth="1"/>
    <col min="15366" max="15366" width="15.7109375" style="22" customWidth="1"/>
    <col min="15367" max="15367" width="15.5703125" style="22" customWidth="1"/>
    <col min="15368" max="15617" width="8.7109375" style="22"/>
    <col min="15618" max="15618" width="37.7109375" style="22" customWidth="1"/>
    <col min="15619" max="15620" width="14.28515625" style="22" customWidth="1"/>
    <col min="15621" max="15621" width="13.5703125" style="22" customWidth="1"/>
    <col min="15622" max="15622" width="15.7109375" style="22" customWidth="1"/>
    <col min="15623" max="15623" width="15.5703125" style="22" customWidth="1"/>
    <col min="15624" max="15873" width="8.7109375" style="22"/>
    <col min="15874" max="15874" width="37.7109375" style="22" customWidth="1"/>
    <col min="15875" max="15876" width="14.28515625" style="22" customWidth="1"/>
    <col min="15877" max="15877" width="13.5703125" style="22" customWidth="1"/>
    <col min="15878" max="15878" width="15.7109375" style="22" customWidth="1"/>
    <col min="15879" max="15879" width="15.5703125" style="22" customWidth="1"/>
    <col min="15880" max="16129" width="8.7109375" style="22"/>
    <col min="16130" max="16130" width="37.7109375" style="22" customWidth="1"/>
    <col min="16131" max="16132" width="14.28515625" style="22" customWidth="1"/>
    <col min="16133" max="16133" width="13.5703125" style="22" customWidth="1"/>
    <col min="16134" max="16134" width="15.7109375" style="22" customWidth="1"/>
    <col min="16135" max="16135" width="15.5703125" style="22" customWidth="1"/>
    <col min="16136" max="16384" width="8.7109375" style="22"/>
  </cols>
  <sheetData>
    <row r="1" spans="1:7" ht="30" customHeight="1" x14ac:dyDescent="0.25"/>
    <row r="2" spans="1:7" ht="35.25" customHeight="1" x14ac:dyDescent="0.35">
      <c r="A2" s="7" t="str">
        <f>'Teine 40'!A2</f>
        <v>Koolilõuna 02.10-06.10.2023</v>
      </c>
      <c r="B2" s="95"/>
      <c r="C2" s="10" t="s">
        <v>66</v>
      </c>
      <c r="D2" s="11"/>
    </row>
    <row r="3" spans="1:7" ht="24" customHeight="1" x14ac:dyDescent="0.25">
      <c r="A3" s="61" t="s">
        <v>1</v>
      </c>
      <c r="B3" s="237"/>
      <c r="C3" s="70" t="s">
        <v>2</v>
      </c>
      <c r="D3" s="70" t="s">
        <v>3</v>
      </c>
      <c r="E3" s="70" t="s">
        <v>4</v>
      </c>
      <c r="F3" s="70" t="s">
        <v>5</v>
      </c>
      <c r="G3" s="70" t="s">
        <v>6</v>
      </c>
    </row>
    <row r="4" spans="1:7" ht="17.25" customHeight="1" x14ac:dyDescent="0.25">
      <c r="A4" s="160" t="s">
        <v>7</v>
      </c>
      <c r="B4" s="17" t="str">
        <f>'Teine 40'!B4</f>
        <v>Küpsetatud kanakitsuliha (portsjon)</v>
      </c>
      <c r="C4" s="161">
        <v>50</v>
      </c>
      <c r="D4" s="191">
        <f>(C4/'Teine 40'!C4)*'Teine 40'!D4</f>
        <v>99.6</v>
      </c>
      <c r="E4" s="191">
        <f>(D4/'Teine 40'!D4)*'Teine 40'!E4</f>
        <v>0.68</v>
      </c>
      <c r="F4" s="191">
        <f>(E4/'Teine 40'!E4)*'Teine 40'!F4</f>
        <v>4.26</v>
      </c>
      <c r="G4" s="191">
        <f>(F4/'Teine 40'!F4)*'Teine 40'!G4</f>
        <v>14.46</v>
      </c>
    </row>
    <row r="5" spans="1:7" ht="17.25" customHeight="1" x14ac:dyDescent="0.25">
      <c r="A5" s="377"/>
      <c r="B5" s="17" t="str">
        <f>'Teine 40'!B5</f>
        <v>Hautatud sealiha</v>
      </c>
      <c r="C5" s="161">
        <v>50</v>
      </c>
      <c r="D5" s="191">
        <f>(C5/'Teine 40'!C5)*'Teine 40'!D5</f>
        <v>119</v>
      </c>
      <c r="E5" s="191">
        <f>(D5/'Teine 40'!D5)*'Teine 40'!E5</f>
        <v>0.2</v>
      </c>
      <c r="F5" s="191">
        <f>(E5/'Teine 40'!E5)*'Teine 40'!F5</f>
        <v>7.3</v>
      </c>
      <c r="G5" s="191">
        <f>(F5/'Teine 40'!F5)*'Teine 40'!G5</f>
        <v>13.3</v>
      </c>
    </row>
    <row r="6" spans="1:7" ht="17.25" customHeight="1" x14ac:dyDescent="0.25">
      <c r="A6" s="377"/>
      <c r="B6" s="17" t="str">
        <f>'Teine 40'!B6</f>
        <v>Magushapus kaste</v>
      </c>
      <c r="C6" s="161">
        <v>50</v>
      </c>
      <c r="D6" s="191">
        <f>(C6/'Teine 40'!C6)*'Teine 40'!D6</f>
        <v>38.299999999999997</v>
      </c>
      <c r="E6" s="191">
        <f>(D6/'Teine 40'!D6)*'Teine 40'!E6</f>
        <v>9.25</v>
      </c>
      <c r="F6" s="191">
        <f>(E6/'Teine 40'!E6)*'Teine 40'!F6</f>
        <v>0.01</v>
      </c>
      <c r="G6" s="191">
        <f>(F6/'Teine 40'!F6)*'Teine 40'!G6</f>
        <v>0.25</v>
      </c>
    </row>
    <row r="7" spans="1:7" ht="17.25" customHeight="1" x14ac:dyDescent="0.25">
      <c r="A7" s="377"/>
      <c r="B7" s="17" t="str">
        <f>'Teine 40'!B7</f>
        <v>Täisterapasta/pasta (G)</v>
      </c>
      <c r="C7" s="161">
        <v>75</v>
      </c>
      <c r="D7" s="191">
        <f>(C7/'Teine 40'!C7)*'Teine 40'!D7</f>
        <v>134.19</v>
      </c>
      <c r="E7" s="191">
        <f>(D7/'Teine 40'!D7)*'Teine 40'!E7</f>
        <v>25.570500000000003</v>
      </c>
      <c r="F7" s="191">
        <f>(E7/'Teine 40'!E7)*'Teine 40'!F7</f>
        <v>1.0499999999999998</v>
      </c>
      <c r="G7" s="191">
        <f>(F7/'Teine 40'!F7)*'Teine 40'!G7</f>
        <v>4.9522499999999994</v>
      </c>
    </row>
    <row r="8" spans="1:7" x14ac:dyDescent="0.25">
      <c r="A8" s="90"/>
      <c r="B8" s="17" t="str">
        <f>'Teine 40'!B8</f>
        <v>Riis, aurutatud</v>
      </c>
      <c r="C8" s="162">
        <v>75</v>
      </c>
      <c r="D8" s="191">
        <f>(C8/'Teine 40'!C8)*'Teine 40'!D8</f>
        <v>96.914999999999992</v>
      </c>
      <c r="E8" s="191">
        <f>(D8/'Teine 40'!D8)*'Teine 40'!E8</f>
        <v>21.465</v>
      </c>
      <c r="F8" s="191">
        <f>(E8/'Teine 40'!E8)*'Teine 40'!F8</f>
        <v>0.1905</v>
      </c>
      <c r="G8" s="191">
        <f>(F8/'Teine 40'!F8)*'Teine 40'!G8</f>
        <v>2.2045500000000002</v>
      </c>
    </row>
    <row r="9" spans="1:7" s="41" customFormat="1" x14ac:dyDescent="0.25">
      <c r="A9" s="90"/>
      <c r="B9" s="17" t="str">
        <f>'Teine 40'!B9</f>
        <v>Kuskuss, aurutatud (G)</v>
      </c>
      <c r="C9" s="161">
        <v>75</v>
      </c>
      <c r="D9" s="191">
        <f>(C9/'Teine 40'!C9)*'Teine 40'!D9</f>
        <v>90.889285714285705</v>
      </c>
      <c r="E9" s="191">
        <f>(D9/'Teine 40'!D9)*'Teine 40'!E9</f>
        <v>18.803571428571427</v>
      </c>
      <c r="F9" s="191">
        <f>(E9/'Teine 40'!E9)*'Teine 40'!F9</f>
        <v>0.54642857142857137</v>
      </c>
      <c r="G9" s="191">
        <f>(F9/'Teine 40'!F9)*'Teine 40'!G9</f>
        <v>3.0964285714285715</v>
      </c>
    </row>
    <row r="10" spans="1:7" x14ac:dyDescent="0.25">
      <c r="A10" s="90"/>
      <c r="B10" s="17" t="str">
        <f>'Teine 40'!B10</f>
        <v>Porgandi-ananassisalat</v>
      </c>
      <c r="C10" s="161">
        <v>50</v>
      </c>
      <c r="D10" s="191">
        <f>(C10/'Teine 40'!C10)*'Teine 40'!D10</f>
        <v>22.65</v>
      </c>
      <c r="E10" s="191">
        <f>(D10/'Teine 40'!D10)*'Teine 40'!E10</f>
        <v>4.32</v>
      </c>
      <c r="F10" s="191">
        <f>(E10/'Teine 40'!E10)*'Teine 40'!F10</f>
        <v>0.77</v>
      </c>
      <c r="G10" s="191">
        <f>(F10/'Teine 40'!F10)*'Teine 40'!G10</f>
        <v>0.28999999999999998</v>
      </c>
    </row>
    <row r="11" spans="1:7" x14ac:dyDescent="0.25">
      <c r="A11" s="90"/>
      <c r="B11" s="17" t="str">
        <f>'Teine 40'!B11</f>
        <v>Punane kapsas, mais, juurseller (röstitu)</v>
      </c>
      <c r="C11" s="240">
        <v>50</v>
      </c>
      <c r="D11" s="191">
        <f>(C11/'Teine 40'!C11)*'Teine 40'!D11</f>
        <v>32.35</v>
      </c>
      <c r="E11" s="191">
        <f>(D11/'Teine 40'!D11)*'Teine 40'!E11</f>
        <v>4.53</v>
      </c>
      <c r="F11" s="191">
        <f>(E11/'Teine 40'!E11)*'Teine 40'!F11</f>
        <v>0.94</v>
      </c>
      <c r="G11" s="191">
        <f>(F11/'Teine 40'!F11)*'Teine 40'!G11</f>
        <v>0.92</v>
      </c>
    </row>
    <row r="12" spans="1:7" x14ac:dyDescent="0.25">
      <c r="A12" s="90"/>
      <c r="B12" s="17" t="str">
        <f>'Teine 40'!B12</f>
        <v>Salatikaste</v>
      </c>
      <c r="C12" s="163">
        <v>5</v>
      </c>
      <c r="D12" s="191">
        <f>(C12/'Teine 40'!C12)*'Teine 40'!D12</f>
        <v>35.25</v>
      </c>
      <c r="E12" s="191">
        <f>(D12/'Teine 40'!D12)*'Teine 40'!E12</f>
        <v>0.03</v>
      </c>
      <c r="F12" s="191">
        <f>(E12/'Teine 40'!E12)*'Teine 40'!F12</f>
        <v>3.9</v>
      </c>
      <c r="G12" s="191">
        <f>(F12/'Teine 40'!F12)*'Teine 40'!G12</f>
        <v>0.01</v>
      </c>
    </row>
    <row r="13" spans="1:7" x14ac:dyDescent="0.25">
      <c r="A13" s="90"/>
      <c r="B13" s="17" t="str">
        <f>'Teine 40'!B13</f>
        <v>Seemnesegu</v>
      </c>
      <c r="C13" s="163">
        <v>15</v>
      </c>
      <c r="D13" s="191">
        <f>(C13/'Teine 40'!C13)*'Teine 40'!D13</f>
        <v>91.65</v>
      </c>
      <c r="E13" s="191">
        <f>(D13/'Teine 40'!D13)*'Teine 40'!E13</f>
        <v>2.13</v>
      </c>
      <c r="F13" s="191">
        <f>(E13/'Teine 40'!E13)*'Teine 40'!F13</f>
        <v>8.0399999999999991</v>
      </c>
      <c r="G13" s="191">
        <f>(F13/'Teine 40'!F13)*'Teine 40'!G13</f>
        <v>3.36</v>
      </c>
    </row>
    <row r="14" spans="1:7" x14ac:dyDescent="0.25">
      <c r="A14" s="90"/>
      <c r="B14" s="17" t="str">
        <f>'Teine 40'!B14</f>
        <v>PRIA Piimatooted (piim, keefir ) (L)</v>
      </c>
      <c r="C14" s="164">
        <v>100</v>
      </c>
      <c r="D14" s="191"/>
      <c r="E14" s="191"/>
      <c r="F14" s="191"/>
      <c r="G14" s="191"/>
    </row>
    <row r="15" spans="1:7" x14ac:dyDescent="0.25">
      <c r="A15" s="90"/>
      <c r="B15" s="17" t="str">
        <f>'Teine 40'!B15</f>
        <v>Rukkileiva- ja sepikutoodete valik (G)</v>
      </c>
      <c r="C15" s="165">
        <v>60</v>
      </c>
      <c r="D15" s="191">
        <f>(C15/'Teine 40'!C15)*'Teine 40'!D15</f>
        <v>138</v>
      </c>
      <c r="E15" s="191">
        <f>(D15/'Teine 40'!D15)*'Teine 40'!E15</f>
        <v>29.52</v>
      </c>
      <c r="F15" s="191">
        <f>(E15/'Teine 40'!E15)*'Teine 40'!F15</f>
        <v>0.99599999999999989</v>
      </c>
      <c r="G15" s="191">
        <f>(F15/'Teine 40'!F15)*'Teine 40'!G15</f>
        <v>4.7279999999999998</v>
      </c>
    </row>
    <row r="16" spans="1:7" x14ac:dyDescent="0.25">
      <c r="A16" s="90"/>
      <c r="B16" s="17" t="s">
        <v>174</v>
      </c>
      <c r="C16" s="161">
        <v>100</v>
      </c>
      <c r="D16" s="191">
        <f>(C16/'Teine 40'!C16)*'Teine 40'!D16</f>
        <v>48.3</v>
      </c>
      <c r="E16" s="191">
        <f>(D16/'Teine 40'!D16)*'Teine 40'!E16</f>
        <v>10.9</v>
      </c>
      <c r="F16" s="191">
        <f>(E16/'Teine 40'!E16)*'Teine 40'!F16</f>
        <v>0</v>
      </c>
      <c r="G16" s="191">
        <v>0</v>
      </c>
    </row>
    <row r="17" spans="1:7" s="42" customFormat="1" x14ac:dyDescent="0.25">
      <c r="A17" s="65"/>
      <c r="B17" s="166" t="s">
        <v>8</v>
      </c>
      <c r="C17" s="210"/>
      <c r="D17" s="210">
        <f>SUM(D5:D16)</f>
        <v>847.49428571428564</v>
      </c>
      <c r="E17" s="210">
        <f t="shared" ref="E17:G17" si="0">SUM(E5:E16)</f>
        <v>126.71907142857144</v>
      </c>
      <c r="F17" s="210">
        <f t="shared" si="0"/>
        <v>23.742928571428568</v>
      </c>
      <c r="G17" s="210">
        <f t="shared" si="0"/>
        <v>33.111228571428576</v>
      </c>
    </row>
    <row r="18" spans="1:7" x14ac:dyDescent="0.25">
      <c r="A18" s="14" t="s">
        <v>79</v>
      </c>
      <c r="B18" s="10" t="s">
        <v>80</v>
      </c>
      <c r="C18" s="276">
        <v>150</v>
      </c>
      <c r="D18" s="262">
        <f>1.07*129.92</f>
        <v>139.01439999999999</v>
      </c>
      <c r="E18" s="262">
        <f>1.07*18.34</f>
        <v>19.623799999999999</v>
      </c>
      <c r="F18" s="262">
        <f>1.07*3.892</f>
        <v>4.1644399999999999</v>
      </c>
      <c r="G18" s="262">
        <f>1.07*4.312</f>
        <v>4.6138400000000006</v>
      </c>
    </row>
    <row r="19" spans="1:7" ht="24" customHeight="1" x14ac:dyDescent="0.25">
      <c r="A19" s="61" t="s">
        <v>9</v>
      </c>
      <c r="B19" s="88"/>
      <c r="C19" s="70" t="s">
        <v>2</v>
      </c>
      <c r="D19" s="70" t="s">
        <v>3</v>
      </c>
      <c r="E19" s="70" t="s">
        <v>4</v>
      </c>
      <c r="F19" s="70" t="s">
        <v>5</v>
      </c>
      <c r="G19" s="70" t="s">
        <v>6</v>
      </c>
    </row>
    <row r="20" spans="1:7" x14ac:dyDescent="0.25">
      <c r="A20" s="71" t="s">
        <v>7</v>
      </c>
      <c r="B20" s="211" t="str">
        <f>'Teine 40'!B20</f>
        <v>Rassolnik sealihaga (G)</v>
      </c>
      <c r="C20" s="72">
        <v>150</v>
      </c>
      <c r="D20" s="191">
        <f>C20*'Teine 40'!D20/'Teine 40'!C20</f>
        <v>108.15</v>
      </c>
      <c r="E20" s="191">
        <f>D20*'Teine 40'!E20/'Teine 40'!D20</f>
        <v>15.150000000000002</v>
      </c>
      <c r="F20" s="191">
        <f>E20*'Teine 40'!F20/'Teine 40'!E20</f>
        <v>3.588000000000001</v>
      </c>
      <c r="G20" s="191">
        <f>F20*'Teine 40'!G20/'Teine 40'!F20</f>
        <v>2.3340000000000005</v>
      </c>
    </row>
    <row r="21" spans="1:7" x14ac:dyDescent="0.25">
      <c r="A21" s="71"/>
      <c r="B21" s="211" t="str">
        <f>'Teine 40'!B21</f>
        <v>Tomatine läätsesupp veiselihaga</v>
      </c>
      <c r="C21" s="72">
        <v>150</v>
      </c>
      <c r="D21" s="191">
        <f>C21*'Teine 40'!D21/'Teine 40'!C21</f>
        <v>135</v>
      </c>
      <c r="E21" s="191">
        <f>D21*'Teine 40'!E21/'Teine 40'!D21</f>
        <v>19.11</v>
      </c>
      <c r="F21" s="191">
        <f>E21*'Teine 40'!F21/'Teine 40'!E21</f>
        <v>6.84</v>
      </c>
      <c r="G21" s="191">
        <f>F21*'Teine 40'!G21/'Teine 40'!F21</f>
        <v>5.6099999999999994</v>
      </c>
    </row>
    <row r="22" spans="1:7" x14ac:dyDescent="0.25">
      <c r="A22" s="59"/>
      <c r="B22" s="211" t="str">
        <f>'Teine 40'!B22</f>
        <v>Hapukoor (L)</v>
      </c>
      <c r="C22" s="72">
        <v>10</v>
      </c>
      <c r="D22" s="191">
        <f>C22*'Teine 40'!D22/'Teine 40'!C22</f>
        <v>22.2</v>
      </c>
      <c r="E22" s="191">
        <f>D22*'Teine 40'!E22/'Teine 40'!D22</f>
        <v>0.38</v>
      </c>
      <c r="F22" s="191">
        <f>E22*'Teine 40'!F22/'Teine 40'!E22</f>
        <v>2.15</v>
      </c>
      <c r="G22" s="191">
        <f>F22*'Teine 40'!G22/'Teine 40'!F22</f>
        <v>0.33</v>
      </c>
    </row>
    <row r="23" spans="1:7" x14ac:dyDescent="0.25">
      <c r="A23" s="59"/>
      <c r="B23" s="211" t="str">
        <f>'Teine 40'!B23</f>
        <v>Kohupiimakreem mustikakisselliga (L)</v>
      </c>
      <c r="C23" s="72">
        <v>160</v>
      </c>
      <c r="D23" s="191">
        <f>C23*'Teine 40'!D23/'Teine 40'!C23</f>
        <v>218.2</v>
      </c>
      <c r="E23" s="191">
        <f>D23*'Teine 40'!E23/'Teine 40'!D23</f>
        <v>23.9</v>
      </c>
      <c r="F23" s="191">
        <f>E23*'Teine 40'!F23/'Teine 40'!E23</f>
        <v>8.31</v>
      </c>
      <c r="G23" s="191">
        <f>F23*'Teine 40'!G23/'Teine 40'!F23</f>
        <v>5.2</v>
      </c>
    </row>
    <row r="24" spans="1:7" x14ac:dyDescent="0.25">
      <c r="A24" s="59"/>
      <c r="B24" s="211" t="str">
        <f>'Teine 40'!B24</f>
        <v>PRIA Piimatooted (piim, keefir) (L)</v>
      </c>
      <c r="C24" s="72">
        <v>100</v>
      </c>
      <c r="D24" s="191"/>
      <c r="E24" s="191"/>
      <c r="F24" s="191"/>
      <c r="G24" s="191"/>
    </row>
    <row r="25" spans="1:7" x14ac:dyDescent="0.25">
      <c r="A25" s="59"/>
      <c r="B25" s="211" t="str">
        <f>'Teine 40'!B25</f>
        <v>Rukkileiva- ja sepikutoodete valik (G)</v>
      </c>
      <c r="C25" s="72">
        <v>60</v>
      </c>
      <c r="D25" s="191">
        <f>C25*'Teine 40'!D25/'Teine 40'!C25</f>
        <v>138</v>
      </c>
      <c r="E25" s="191">
        <f>D25*'Teine 40'!E25/'Teine 40'!D25</f>
        <v>29.520000000000003</v>
      </c>
      <c r="F25" s="191">
        <f>E25*'Teine 40'!F25/'Teine 40'!E25</f>
        <v>0.99599999999999989</v>
      </c>
      <c r="G25" s="191">
        <f>F25*'Teine 40'!G25/'Teine 40'!F25</f>
        <v>4.7279999999999998</v>
      </c>
    </row>
    <row r="26" spans="1:7" x14ac:dyDescent="0.25">
      <c r="A26" s="59"/>
      <c r="B26" s="211" t="s">
        <v>141</v>
      </c>
      <c r="C26" s="72">
        <v>100</v>
      </c>
      <c r="D26" s="191">
        <f>C26*'Teine 40'!D26/'Teine 40'!C26</f>
        <v>35.6</v>
      </c>
      <c r="E26" s="191">
        <f>D26*'Teine 40'!E26/'Teine 40'!D26</f>
        <v>6.22</v>
      </c>
      <c r="F26" s="191">
        <f>E26*'Teine 40'!F26/'Teine 40'!E26</f>
        <v>0.1</v>
      </c>
      <c r="G26" s="191">
        <f>F26*'Teine 40'!G26/'Teine 40'!F26</f>
        <v>1.1000000000000001</v>
      </c>
    </row>
    <row r="27" spans="1:7" s="42" customFormat="1" x14ac:dyDescent="0.25">
      <c r="A27" s="65"/>
      <c r="B27" s="196" t="s">
        <v>8</v>
      </c>
      <c r="C27" s="210"/>
      <c r="D27" s="210">
        <f>SUM(D20:D26)</f>
        <v>657.15</v>
      </c>
      <c r="E27" s="210">
        <f>SUM(E20:E26)</f>
        <v>94.28</v>
      </c>
      <c r="F27" s="210">
        <f>SUM(F20:F26)</f>
        <v>21.984000000000002</v>
      </c>
      <c r="G27" s="210">
        <f>SUM(G20:G26)</f>
        <v>19.302</v>
      </c>
    </row>
    <row r="28" spans="1:7" x14ac:dyDescent="0.25">
      <c r="A28" s="14" t="s">
        <v>79</v>
      </c>
      <c r="B28" s="10" t="s">
        <v>81</v>
      </c>
      <c r="C28" s="276">
        <v>300</v>
      </c>
      <c r="D28" s="26">
        <f>1.2*175.249</f>
        <v>210.2988</v>
      </c>
      <c r="E28" s="26">
        <f>1.2*24.005</f>
        <v>28.805999999999997</v>
      </c>
      <c r="F28" s="26">
        <f>1.2*5.1688</f>
        <v>6.2025600000000001</v>
      </c>
      <c r="G28" s="26">
        <f>1.2*5.6942</f>
        <v>6.8330400000000004</v>
      </c>
    </row>
    <row r="29" spans="1:7" ht="24" customHeight="1" x14ac:dyDescent="0.25">
      <c r="A29" s="61" t="s">
        <v>10</v>
      </c>
      <c r="B29" s="88"/>
      <c r="C29" s="70" t="s">
        <v>2</v>
      </c>
      <c r="D29" s="70" t="s">
        <v>3</v>
      </c>
      <c r="E29" s="70" t="s">
        <v>4</v>
      </c>
      <c r="F29" s="70" t="s">
        <v>5</v>
      </c>
      <c r="G29" s="70" t="s">
        <v>6</v>
      </c>
    </row>
    <row r="30" spans="1:7" x14ac:dyDescent="0.25">
      <c r="A30" s="71" t="s">
        <v>7</v>
      </c>
      <c r="B30" s="212" t="str">
        <f>'Teine 40'!B30</f>
        <v>Maksastrooganov (L, G)</v>
      </c>
      <c r="C30" s="72">
        <v>75</v>
      </c>
      <c r="D30" s="191">
        <f>(C30/'Teine 40'!C30)*'Teine 40'!D30</f>
        <v>120</v>
      </c>
      <c r="E30" s="191">
        <f>(D30/'Teine 40'!D30)*'Teine 40'!E30</f>
        <v>13.424999999999999</v>
      </c>
      <c r="F30" s="191">
        <f>(E30/'Teine 40'!E30)*'Teine 40'!F30</f>
        <v>7.5053571428571422</v>
      </c>
      <c r="G30" s="191">
        <f>(F30/'Teine 40'!F30)*'Teine 40'!G30</f>
        <v>9.7714285714285705</v>
      </c>
    </row>
    <row r="31" spans="1:7" x14ac:dyDescent="0.25">
      <c r="A31" s="71"/>
      <c r="B31" s="212" t="str">
        <f>'Teine 40'!B31</f>
        <v>Kalkuni-köögiviljakaste ürtidega</v>
      </c>
      <c r="C31" s="72">
        <v>75</v>
      </c>
      <c r="D31" s="191">
        <f>(C31/'Teine 40'!C31)*'Teine 40'!D31</f>
        <v>109.54285714285713</v>
      </c>
      <c r="E31" s="191">
        <f>(D31/'Teine 40'!D31)*'Teine 40'!E31</f>
        <v>12.75</v>
      </c>
      <c r="F31" s="191">
        <f>(E31/'Teine 40'!E31)*'Teine 40'!F31</f>
        <v>7.4035714285714285</v>
      </c>
      <c r="G31" s="191">
        <f>(F31/'Teine 40'!F31)*'Teine 40'!G31</f>
        <v>6.1553571428571425</v>
      </c>
    </row>
    <row r="32" spans="1:7" x14ac:dyDescent="0.25">
      <c r="A32" s="71"/>
      <c r="B32" s="212" t="str">
        <f>'Teine 40'!B32</f>
        <v>Kartulipüree (L)</v>
      </c>
      <c r="C32" s="72">
        <v>75</v>
      </c>
      <c r="D32" s="191">
        <f>(C32/'Teine 40'!C32)*'Teine 40'!D32</f>
        <v>67.391999999999996</v>
      </c>
      <c r="E32" s="191">
        <f>(D32/'Teine 40'!D32)*'Teine 40'!E32</f>
        <v>10.809750000000001</v>
      </c>
      <c r="F32" s="191">
        <f>(E32/'Teine 40'!E32)*'Teine 40'!F32</f>
        <v>1.7679000000000005</v>
      </c>
      <c r="G32" s="191">
        <f>(F32/'Teine 40'!F32)*'Teine 40'!G32</f>
        <v>1.7572500000000002</v>
      </c>
    </row>
    <row r="33" spans="1:7" x14ac:dyDescent="0.25">
      <c r="A33" s="59"/>
      <c r="B33" s="212" t="str">
        <f>'Teine 40'!B33</f>
        <v>Tatar, aurutatud</v>
      </c>
      <c r="C33" s="72">
        <v>75</v>
      </c>
      <c r="D33" s="191">
        <f>(C33/'Teine 40'!C33)*'Teine 40'!D33</f>
        <v>56.231999999999999</v>
      </c>
      <c r="E33" s="191">
        <f>(D33/'Teine 40'!D33)*'Teine 40'!E33</f>
        <v>12.993000000000002</v>
      </c>
      <c r="F33" s="191">
        <f>(E33/'Teine 40'!E33)*'Teine 40'!F33</f>
        <v>7.4550000000000005E-2</v>
      </c>
      <c r="G33" s="191">
        <f>(F33/'Teine 40'!F33)*'Teine 40'!G33</f>
        <v>1.45905</v>
      </c>
    </row>
    <row r="34" spans="1:7" x14ac:dyDescent="0.25">
      <c r="A34" s="59"/>
      <c r="B34" s="212" t="str">
        <f>'Teine 40'!B34</f>
        <v>Kolme riisi segu, aurutatud</v>
      </c>
      <c r="C34" s="72">
        <v>75</v>
      </c>
      <c r="D34" s="191">
        <f>(C34/'Teine 40'!C34)*'Teine 40'!D34</f>
        <v>56.231999999999999</v>
      </c>
      <c r="E34" s="191">
        <f>(D34/'Teine 40'!D34)*'Teine 40'!E34</f>
        <v>12.993000000000002</v>
      </c>
      <c r="F34" s="191">
        <f>(E34/'Teine 40'!E34)*'Teine 40'!F34</f>
        <v>7.4550000000000005E-2</v>
      </c>
      <c r="G34" s="191">
        <f>(F34/'Teine 40'!F34)*'Teine 40'!G34</f>
        <v>1.45905</v>
      </c>
    </row>
    <row r="35" spans="1:7" x14ac:dyDescent="0.25">
      <c r="A35" s="59"/>
      <c r="B35" s="212" t="str">
        <f>'Teine 40'!B35</f>
        <v>Peedisalat jõhvikatega</v>
      </c>
      <c r="C35" s="72">
        <v>50</v>
      </c>
      <c r="D35" s="191">
        <f>(C35/'Teine 40'!C35)*'Teine 40'!D35</f>
        <v>19.850000000000001</v>
      </c>
      <c r="E35" s="191">
        <f>(D35/'Teine 40'!D35)*'Teine 40'!E35</f>
        <v>3.38</v>
      </c>
      <c r="F35" s="191">
        <f>(E35/'Teine 40'!E35)*'Teine 40'!F35</f>
        <v>0.1</v>
      </c>
      <c r="G35" s="191">
        <f>(F35/'Teine 40'!F35)*'Teine 40'!G35</f>
        <v>0.71</v>
      </c>
    </row>
    <row r="36" spans="1:7" x14ac:dyDescent="0.25">
      <c r="A36" s="236"/>
      <c r="B36" s="212" t="str">
        <f>'Teine 40'!B36</f>
        <v>Porgand, Hiina kapsas, roheline hernes</v>
      </c>
      <c r="C36" s="72">
        <v>50</v>
      </c>
      <c r="D36" s="191">
        <f>(C36/'Teine 40'!C36)*'Teine 40'!D36</f>
        <v>20.399999999999999</v>
      </c>
      <c r="E36" s="191">
        <f>(D36/'Teine 40'!D36)*'Teine 40'!E36</f>
        <v>2.87</v>
      </c>
      <c r="F36" s="191">
        <f>(E36/'Teine 40'!E36)*'Teine 40'!F36</f>
        <v>0.16</v>
      </c>
      <c r="G36" s="191">
        <f>(F36/'Teine 40'!F36)*'Teine 40'!G36</f>
        <v>1</v>
      </c>
    </row>
    <row r="37" spans="1:7" x14ac:dyDescent="0.25">
      <c r="A37" s="167"/>
      <c r="B37" s="212" t="str">
        <f>'Teine 40'!B37</f>
        <v>Salatikaste</v>
      </c>
      <c r="C37" s="163">
        <v>5</v>
      </c>
      <c r="D37" s="191">
        <f>(C37/'Teine 40'!C37)*'Teine 40'!D37</f>
        <v>35.25</v>
      </c>
      <c r="E37" s="191">
        <f>(D37/'Teine 40'!D37)*'Teine 40'!E37</f>
        <v>0.03</v>
      </c>
      <c r="F37" s="191">
        <f>(E37/'Teine 40'!E37)*'Teine 40'!F37</f>
        <v>3.9</v>
      </c>
      <c r="G37" s="191">
        <f>(F37/'Teine 40'!F37)*'Teine 40'!G37</f>
        <v>0.01</v>
      </c>
    </row>
    <row r="38" spans="1:7" x14ac:dyDescent="0.25">
      <c r="A38" s="167"/>
      <c r="B38" s="212" t="str">
        <f>'Teine 40'!B38</f>
        <v>Seemnesegu</v>
      </c>
      <c r="C38" s="163">
        <v>15</v>
      </c>
      <c r="D38" s="191">
        <f>(C38/'Teine 40'!C38)*'Teine 40'!D38</f>
        <v>91.65</v>
      </c>
      <c r="E38" s="191">
        <f>(D38/'Teine 40'!D38)*'Teine 40'!E38</f>
        <v>2.13</v>
      </c>
      <c r="F38" s="191">
        <f>(E38/'Teine 40'!E38)*'Teine 40'!F38</f>
        <v>8.0399999999999991</v>
      </c>
      <c r="G38" s="191">
        <f>(F38/'Teine 40'!F38)*'Teine 40'!G38</f>
        <v>3.36</v>
      </c>
    </row>
    <row r="39" spans="1:7" x14ac:dyDescent="0.25">
      <c r="A39" s="168"/>
      <c r="B39" s="212" t="str">
        <f>'Teine 40'!B39</f>
        <v>PRIA Piimatooted (piim, keefir) (L)</v>
      </c>
      <c r="C39" s="195">
        <v>100</v>
      </c>
      <c r="D39" s="191"/>
      <c r="E39" s="191"/>
      <c r="F39" s="191"/>
      <c r="G39" s="191"/>
    </row>
    <row r="40" spans="1:7" x14ac:dyDescent="0.25">
      <c r="A40" s="59"/>
      <c r="B40" s="212" t="str">
        <f>'Teine 40'!B40</f>
        <v>Rukkileiva- ja sepikutoodete valik (G)</v>
      </c>
      <c r="C40" s="193">
        <v>60</v>
      </c>
      <c r="D40" s="191">
        <f>(C40/'Teine 40'!C40)*'Teine 40'!D40</f>
        <v>138</v>
      </c>
      <c r="E40" s="191">
        <f>(D40/'Teine 40'!D40)*'Teine 40'!E40</f>
        <v>29.52</v>
      </c>
      <c r="F40" s="191">
        <f>(E40/'Teine 40'!E40)*'Teine 40'!F40</f>
        <v>0.99599999999999989</v>
      </c>
      <c r="G40" s="191">
        <f>(F40/'Teine 40'!F40)*'Teine 40'!G40</f>
        <v>4.7279999999999998</v>
      </c>
    </row>
    <row r="41" spans="1:7" x14ac:dyDescent="0.25">
      <c r="A41" s="58"/>
      <c r="B41" s="212" t="s">
        <v>126</v>
      </c>
      <c r="C41" s="72">
        <v>100</v>
      </c>
      <c r="D41" s="191">
        <f>(C41/'Teine 40'!C41)*'Teine 40'!D41</f>
        <v>46.4</v>
      </c>
      <c r="E41" s="191">
        <f>(D41/'Teine 40'!D41)*'Teine 40'!E41</f>
        <v>10.199999999999999</v>
      </c>
      <c r="F41" s="191">
        <f>(E41/'Teine 40'!E41)*'Teine 40'!F41</f>
        <v>0</v>
      </c>
      <c r="G41" s="191">
        <v>0.3</v>
      </c>
    </row>
    <row r="42" spans="1:7" s="42" customFormat="1" x14ac:dyDescent="0.25">
      <c r="A42" s="65"/>
      <c r="B42" s="196" t="s">
        <v>8</v>
      </c>
      <c r="C42" s="210"/>
      <c r="D42" s="210">
        <f>SUM(D30:D41)</f>
        <v>760.94885714285704</v>
      </c>
      <c r="E42" s="210">
        <f>SUM(E30:E41)</f>
        <v>111.10075000000001</v>
      </c>
      <c r="F42" s="210">
        <f>SUM(F30:F41)</f>
        <v>30.021928571428568</v>
      </c>
      <c r="G42" s="210">
        <f>SUM(G30:G41)</f>
        <v>30.710135714285716</v>
      </c>
    </row>
    <row r="43" spans="1:7" x14ac:dyDescent="0.25">
      <c r="A43" s="14" t="s">
        <v>79</v>
      </c>
      <c r="B43" s="10" t="s">
        <v>133</v>
      </c>
      <c r="C43" s="276">
        <v>150</v>
      </c>
      <c r="D43" s="262">
        <f>1.07*176</f>
        <v>188.32000000000002</v>
      </c>
      <c r="E43" s="262">
        <f>1.07*4.6</f>
        <v>4.9219999999999997</v>
      </c>
      <c r="F43" s="262">
        <f>1.07*16.16</f>
        <v>17.2912</v>
      </c>
      <c r="G43" s="262">
        <f>1.07*5.75</f>
        <v>6.1525000000000007</v>
      </c>
    </row>
    <row r="44" spans="1:7" ht="24" customHeight="1" x14ac:dyDescent="0.25">
      <c r="A44" s="61" t="s">
        <v>11</v>
      </c>
      <c r="B44" s="88"/>
      <c r="C44" s="70" t="s">
        <v>2</v>
      </c>
      <c r="D44" s="70" t="s">
        <v>3</v>
      </c>
      <c r="E44" s="70" t="s">
        <v>4</v>
      </c>
      <c r="F44" s="70" t="s">
        <v>5</v>
      </c>
      <c r="G44" s="70" t="s">
        <v>6</v>
      </c>
    </row>
    <row r="45" spans="1:7" x14ac:dyDescent="0.25">
      <c r="A45" s="71" t="s">
        <v>7</v>
      </c>
      <c r="B45" s="83" t="str">
        <f>'Teine 40'!B45</f>
        <v>Selge köögiviljasupp kalaga</v>
      </c>
      <c r="C45" s="74">
        <v>150</v>
      </c>
      <c r="D45" s="79">
        <f>C45*'Teine 40'!D45/'Teine 40'!C45</f>
        <v>127.2</v>
      </c>
      <c r="E45" s="79">
        <f>D45*'Teine 40'!E45/'Teine 40'!D45</f>
        <v>15.257999999999999</v>
      </c>
      <c r="F45" s="79">
        <f>E45*'Teine 40'!F45/'Teine 40'!E45</f>
        <v>5.79</v>
      </c>
      <c r="G45" s="79">
        <f>F45*'Teine 40'!G45/'Teine 40'!F45</f>
        <v>8.1</v>
      </c>
    </row>
    <row r="46" spans="1:7" x14ac:dyDescent="0.25">
      <c r="A46" s="71"/>
      <c r="B46" s="83" t="str">
        <f>'Teine 40'!B46</f>
        <v>Hapukoor (L)</v>
      </c>
      <c r="C46" s="74">
        <v>10</v>
      </c>
      <c r="D46" s="79">
        <f>C46*'Teine 40'!D46/'Teine 40'!C46</f>
        <v>22.2</v>
      </c>
      <c r="E46" s="79">
        <f>D46*'Teine 40'!E46/'Teine 40'!D46</f>
        <v>0.38</v>
      </c>
      <c r="F46" s="79">
        <f>E46*'Teine 40'!F46/'Teine 40'!E46</f>
        <v>2.15</v>
      </c>
      <c r="G46" s="79">
        <f>F46*'Teine 40'!G46/'Teine 40'!F46</f>
        <v>0.33</v>
      </c>
    </row>
    <row r="47" spans="1:7" s="9" customFormat="1" x14ac:dyDescent="0.25">
      <c r="A47" s="64"/>
      <c r="B47" s="83" t="str">
        <f>'Teine 40'!B47</f>
        <v>Koorene kanasupp kollase karriga (L)</v>
      </c>
      <c r="C47" s="81">
        <v>150</v>
      </c>
      <c r="D47" s="79">
        <f>C47*'Teine 40'!D47/'Teine 40'!C47</f>
        <v>125.84399999999999</v>
      </c>
      <c r="E47" s="79">
        <f>D47*'Teine 40'!E47/'Teine 40'!D47</f>
        <v>11.225999999999999</v>
      </c>
      <c r="F47" s="79">
        <f>E47*'Teine 40'!F47/'Teine 40'!E47</f>
        <v>8.6699999999999982</v>
      </c>
      <c r="G47" s="79">
        <f>F47*'Teine 40'!G47/'Teine 40'!F47</f>
        <v>8.4179999999999993</v>
      </c>
    </row>
    <row r="48" spans="1:7" x14ac:dyDescent="0.25">
      <c r="A48" s="59"/>
      <c r="B48" s="83" t="str">
        <f>'Teine 40'!B48</f>
        <v>Kreeka jogurt banaani, kakao ja röstitud kaerahelvestega (L, G)</v>
      </c>
      <c r="C48" s="74">
        <v>160</v>
      </c>
      <c r="D48" s="79">
        <f>C48*'Teine 40'!D48/'Teine 40'!C48</f>
        <v>243.2</v>
      </c>
      <c r="E48" s="79">
        <f>D48*'Teine 40'!E48/'Teine 40'!D48</f>
        <v>31.52</v>
      </c>
      <c r="F48" s="79">
        <f>E48*'Teine 40'!F48/'Teine 40'!E48</f>
        <v>6.94</v>
      </c>
      <c r="G48" s="79">
        <f>F48*'Teine 40'!G48/'Teine 40'!F48</f>
        <v>11.63</v>
      </c>
    </row>
    <row r="49" spans="1:7" x14ac:dyDescent="0.25">
      <c r="A49" s="59"/>
      <c r="B49" s="83" t="str">
        <f>'Teine 40'!B49</f>
        <v>PRIA Piimatooted (piim, keefir) (L)</v>
      </c>
      <c r="C49" s="74">
        <v>100</v>
      </c>
      <c r="D49" s="79"/>
      <c r="E49" s="79"/>
      <c r="F49" s="79"/>
      <c r="G49" s="79"/>
    </row>
    <row r="50" spans="1:7" x14ac:dyDescent="0.25">
      <c r="A50" s="58"/>
      <c r="B50" s="83" t="str">
        <f>'Teine 40'!B50</f>
        <v>Rukkileiva- ja sepikutoodete valik (G)</v>
      </c>
      <c r="C50" s="80">
        <v>60</v>
      </c>
      <c r="D50" s="79">
        <f>C50*'Teine 40'!D50/'Teine 40'!C50</f>
        <v>138</v>
      </c>
      <c r="E50" s="79">
        <f>D50*'Teine 40'!E50/'Teine 40'!D50</f>
        <v>29.520000000000003</v>
      </c>
      <c r="F50" s="79">
        <f>E50*'Teine 40'!F50/'Teine 40'!E50</f>
        <v>0.99599999999999989</v>
      </c>
      <c r="G50" s="79">
        <f>F50*'Teine 40'!G50/'Teine 40'!F50</f>
        <v>4.7279999999999998</v>
      </c>
    </row>
    <row r="51" spans="1:7" x14ac:dyDescent="0.25">
      <c r="A51" s="378"/>
      <c r="B51" s="379" t="s">
        <v>127</v>
      </c>
      <c r="C51" s="20">
        <v>100</v>
      </c>
      <c r="D51" s="79">
        <f>C51*'Teine 40'!D51/'Teine 40'!C51</f>
        <v>32.4</v>
      </c>
      <c r="E51" s="79">
        <f>D51*'Teine 40'!E51/'Teine 40'!D51</f>
        <v>5.6</v>
      </c>
      <c r="F51" s="79">
        <f>E51*'Teine 40'!F51/'Teine 40'!E51</f>
        <v>0.19999999999999998</v>
      </c>
      <c r="G51" s="79">
        <f>F51*'Teine 40'!G51/'Teine 40'!F51</f>
        <v>0.59999999999999987</v>
      </c>
    </row>
    <row r="52" spans="1:7" s="42" customFormat="1" x14ac:dyDescent="0.25">
      <c r="A52" s="65"/>
      <c r="B52" s="196" t="s">
        <v>8</v>
      </c>
      <c r="C52" s="210"/>
      <c r="D52" s="210">
        <f>SUM(D45:D50)</f>
        <v>656.44399999999996</v>
      </c>
      <c r="E52" s="210">
        <f>SUM(E45:E50)</f>
        <v>87.903999999999996</v>
      </c>
      <c r="F52" s="210">
        <f>SUM(F45:F50)</f>
        <v>24.545999999999999</v>
      </c>
      <c r="G52" s="210">
        <f>SUM(G45:G50)</f>
        <v>33.206000000000003</v>
      </c>
    </row>
    <row r="53" spans="1:7" x14ac:dyDescent="0.25">
      <c r="A53" s="14" t="s">
        <v>79</v>
      </c>
      <c r="B53" s="10" t="s">
        <v>82</v>
      </c>
      <c r="C53" s="276">
        <v>300</v>
      </c>
      <c r="D53" s="262">
        <f>1.2*257.42</f>
        <v>308.904</v>
      </c>
      <c r="E53" s="262">
        <f>1.2*20.69</f>
        <v>24.827999999999999</v>
      </c>
      <c r="F53" s="262">
        <f>1.2*12.07</f>
        <v>14.484</v>
      </c>
      <c r="G53" s="262">
        <f>1.2*8.93</f>
        <v>10.715999999999999</v>
      </c>
    </row>
    <row r="54" spans="1:7" ht="24" customHeight="1" x14ac:dyDescent="0.25">
      <c r="A54" s="61" t="s">
        <v>12</v>
      </c>
      <c r="B54" s="88"/>
      <c r="C54" s="70" t="s">
        <v>2</v>
      </c>
      <c r="D54" s="70" t="s">
        <v>3</v>
      </c>
      <c r="E54" s="70" t="s">
        <v>4</v>
      </c>
      <c r="F54" s="70" t="s">
        <v>5</v>
      </c>
      <c r="G54" s="70" t="s">
        <v>6</v>
      </c>
    </row>
    <row r="55" spans="1:7" ht="15.75" customHeight="1" x14ac:dyDescent="0.25">
      <c r="A55" s="236" t="s">
        <v>7</v>
      </c>
      <c r="B55" s="252" t="str">
        <f>'Teine 40'!B55</f>
        <v>Pilaff veiselihaga</v>
      </c>
      <c r="C55" s="74">
        <v>150</v>
      </c>
      <c r="D55" s="191">
        <f>(C55/'Teine 40'!C55)*'Teine 40'!D55</f>
        <v>246</v>
      </c>
      <c r="E55" s="191">
        <f>(D55/'Teine 40'!D55)*'Teine 40'!E55</f>
        <v>29.549999999999997</v>
      </c>
      <c r="F55" s="191">
        <f>(E55/'Teine 40'!E55)*'Teine 40'!F55</f>
        <v>9.3780000000000001</v>
      </c>
      <c r="G55" s="191">
        <f>(F55/'Teine 40'!F55)*'Teine 40'!G55</f>
        <v>10.29</v>
      </c>
    </row>
    <row r="56" spans="1:7" ht="15.75" customHeight="1" x14ac:dyDescent="0.25">
      <c r="A56" s="236"/>
      <c r="B56" s="252" t="str">
        <f>'Teine 40'!B56</f>
        <v>Kana-suvikõrvitsa ahjupasta (G)</v>
      </c>
      <c r="C56" s="380">
        <v>150</v>
      </c>
      <c r="D56" s="191">
        <f>(C56/'Teine 40'!C56)*'Teine 40'!D56</f>
        <v>229.5</v>
      </c>
      <c r="E56" s="191">
        <f>(D56/'Teine 40'!D56)*'Teine 40'!E56</f>
        <v>39.299999999999997</v>
      </c>
      <c r="F56" s="191">
        <f>(E56/'Teine 40'!E56)*'Teine 40'!F56</f>
        <v>3.7650000000000001</v>
      </c>
      <c r="G56" s="191">
        <f>(F56/'Teine 40'!F56)*'Teine 40'!G56</f>
        <v>6.6479999999999997</v>
      </c>
    </row>
    <row r="57" spans="1:7" x14ac:dyDescent="0.25">
      <c r="A57" s="59"/>
      <c r="B57" s="252" t="str">
        <f>'Teine 40'!B57</f>
        <v>Ürdi-jogurtikaste (L)</v>
      </c>
      <c r="C57" s="161">
        <v>50</v>
      </c>
      <c r="D57" s="191">
        <f>(C57/'Teine 40'!C57)*'Teine 40'!D57</f>
        <v>63</v>
      </c>
      <c r="E57" s="191">
        <f>(D57/'Teine 40'!D57)*'Teine 40'!E57</f>
        <v>7.35</v>
      </c>
      <c r="F57" s="191">
        <f>(E57/'Teine 40'!E57)*'Teine 40'!F57</f>
        <v>3.18</v>
      </c>
      <c r="G57" s="191">
        <f>(F57/'Teine 40'!F57)*'Teine 40'!G57</f>
        <v>1.23</v>
      </c>
    </row>
    <row r="58" spans="1:7" x14ac:dyDescent="0.25">
      <c r="A58" s="59"/>
      <c r="B58" s="252" t="str">
        <f>'Teine 40'!B58</f>
        <v>Kapsa-kurgisalat tilliga</v>
      </c>
      <c r="C58" s="161">
        <v>50</v>
      </c>
      <c r="D58" s="191">
        <f>(C58/'Teine 40'!C58)*'Teine 40'!D58</f>
        <v>25.65</v>
      </c>
      <c r="E58" s="191">
        <f>(D58/'Teine 40'!D58)*'Teine 40'!E58</f>
        <v>2.0699999999999998</v>
      </c>
      <c r="F58" s="191">
        <f>(E58/'Teine 40'!E58)*'Teine 40'!F58</f>
        <v>1.6</v>
      </c>
      <c r="G58" s="191">
        <f>(F58/'Teine 40'!F58)*'Teine 40'!G58</f>
        <v>0.44</v>
      </c>
    </row>
    <row r="59" spans="1:7" x14ac:dyDescent="0.25">
      <c r="A59" s="59"/>
      <c r="B59" s="252" t="str">
        <f>'Teine 40'!B59</f>
        <v>Jääsalat, valged oad (keedetud) , kaalikas (röstitud)</v>
      </c>
      <c r="C59" s="161">
        <v>50</v>
      </c>
      <c r="D59" s="191">
        <f>(C59/'Teine 40'!C59)*'Teine 40'!D59</f>
        <v>39.1</v>
      </c>
      <c r="E59" s="191">
        <f>(D59/'Teine 40'!D59)*'Teine 40'!E59</f>
        <v>5.9</v>
      </c>
      <c r="F59" s="191">
        <f>(E59/'Teine 40'!E59)*'Teine 40'!F59</f>
        <v>9.9500000000000005E-2</v>
      </c>
      <c r="G59" s="191">
        <f>(F59/'Teine 40'!F59)*'Teine 40'!G59</f>
        <v>2.2549999999999999</v>
      </c>
    </row>
    <row r="60" spans="1:7" x14ac:dyDescent="0.25">
      <c r="A60" s="58"/>
      <c r="B60" s="252" t="str">
        <f>'Teine 40'!B60</f>
        <v>Salatikaste</v>
      </c>
      <c r="C60" s="240">
        <v>5</v>
      </c>
      <c r="D60" s="191">
        <f>(C60/'Teine 40'!C60)*'Teine 40'!D60</f>
        <v>35.25</v>
      </c>
      <c r="E60" s="191">
        <f>(D60/'Teine 40'!D60)*'Teine 40'!E60</f>
        <v>0.03</v>
      </c>
      <c r="F60" s="191">
        <f>(E60/'Teine 40'!E60)*'Teine 40'!F60</f>
        <v>3.9</v>
      </c>
      <c r="G60" s="191">
        <f>(F60/'Teine 40'!F60)*'Teine 40'!G60</f>
        <v>0.01</v>
      </c>
    </row>
    <row r="61" spans="1:7" x14ac:dyDescent="0.25">
      <c r="A61" s="58"/>
      <c r="B61" s="252" t="str">
        <f>'Teine 40'!B61</f>
        <v>Seemnesegu</v>
      </c>
      <c r="C61" s="163">
        <v>10</v>
      </c>
      <c r="D61" s="191">
        <f>(C61/'Teine 40'!C61)*'Teine 40'!D61</f>
        <v>61.099899999999998</v>
      </c>
      <c r="E61" s="191">
        <f>(D61/'Teine 40'!D61)*'Teine 40'!E61</f>
        <v>1.4198999999999999</v>
      </c>
      <c r="F61" s="191">
        <f>(E61/'Teine 40'!E61)*'Teine 40'!F61</f>
        <v>5.3598999999999997</v>
      </c>
      <c r="G61" s="191">
        <f>(F61/'Teine 40'!F61)*'Teine 40'!G61</f>
        <v>2.2399</v>
      </c>
    </row>
    <row r="62" spans="1:7" x14ac:dyDescent="0.25">
      <c r="A62" s="59"/>
      <c r="B62" s="252" t="str">
        <f>'Teine 40'!B62</f>
        <v>PRIA Piimatooted (piim, keefir) (L)</v>
      </c>
      <c r="C62" s="163">
        <v>100</v>
      </c>
      <c r="D62" s="191"/>
      <c r="E62" s="191"/>
      <c r="F62" s="191"/>
      <c r="G62" s="191"/>
    </row>
    <row r="63" spans="1:7" x14ac:dyDescent="0.25">
      <c r="A63" s="59"/>
      <c r="B63" s="252" t="str">
        <f>'Teine 40'!B63</f>
        <v>Kama-marja smuuti (L, G)</v>
      </c>
      <c r="C63" s="163">
        <v>100</v>
      </c>
      <c r="D63" s="191">
        <f>(C63/'Teine 40'!C63)*'Teine 40'!D63</f>
        <v>71</v>
      </c>
      <c r="E63" s="191">
        <f>(D63/'Teine 40'!D63)*'Teine 40'!E63</f>
        <v>19.2</v>
      </c>
      <c r="F63" s="191">
        <f>(E63/'Teine 40'!E63)*'Teine 40'!F63</f>
        <v>1.83</v>
      </c>
      <c r="G63" s="191">
        <f>(F63/'Teine 40'!F63)*'Teine 40'!G63</f>
        <v>2.79</v>
      </c>
    </row>
    <row r="64" spans="1:7" x14ac:dyDescent="0.25">
      <c r="A64" s="58"/>
      <c r="B64" s="252" t="str">
        <f>'Teine 40'!B64</f>
        <v>Rukkileiva- ja sepikutoodete valik (G)</v>
      </c>
      <c r="C64" s="169">
        <v>60</v>
      </c>
      <c r="D64" s="191">
        <f>(C64/'Teine 40'!C64)*'Teine 40'!D64</f>
        <v>138</v>
      </c>
      <c r="E64" s="191">
        <f>(D64/'Teine 40'!D64)*'Teine 40'!E64</f>
        <v>29.52</v>
      </c>
      <c r="F64" s="191">
        <f>(E64/'Teine 40'!E64)*'Teine 40'!F64</f>
        <v>0.99599999999999989</v>
      </c>
      <c r="G64" s="191">
        <f>(F64/'Teine 40'!F64)*'Teine 40'!G64</f>
        <v>4.7279999999999998</v>
      </c>
    </row>
    <row r="65" spans="1:7" x14ac:dyDescent="0.25">
      <c r="A65" s="58"/>
      <c r="B65" s="252" t="s">
        <v>125</v>
      </c>
      <c r="C65" s="288">
        <v>100</v>
      </c>
      <c r="D65" s="191">
        <f>(C65/'Teine 40'!C65)*'Teine 40'!D65</f>
        <v>45.7</v>
      </c>
      <c r="E65" s="191">
        <f>(D65/'Teine 40'!D65)*'Teine 40'!E65</f>
        <v>10.01</v>
      </c>
      <c r="F65" s="191">
        <f>(E65/'Teine 40'!E65)*'Teine 40'!F65</f>
        <v>0.3</v>
      </c>
      <c r="G65" s="191">
        <f>(F65/'Teine 40'!F65)*'Teine 40'!G65</f>
        <v>0.5</v>
      </c>
    </row>
    <row r="66" spans="1:7" s="42" customFormat="1" x14ac:dyDescent="0.25">
      <c r="A66" s="65"/>
      <c r="B66" s="323" t="s">
        <v>8</v>
      </c>
      <c r="C66" s="239"/>
      <c r="D66" s="253">
        <f>SUM(D55:D65)</f>
        <v>954.29990000000009</v>
      </c>
      <c r="E66" s="253">
        <f>SUM(E55:E65)</f>
        <v>144.34989999999999</v>
      </c>
      <c r="F66" s="253">
        <f>SUM(F55:F65)</f>
        <v>30.4084</v>
      </c>
      <c r="G66" s="253">
        <f>SUM(G55:G65)</f>
        <v>31.130899999999997</v>
      </c>
    </row>
    <row r="67" spans="1:7" s="42" customFormat="1" x14ac:dyDescent="0.25">
      <c r="A67" s="297" t="s">
        <v>79</v>
      </c>
      <c r="B67" s="302" t="s">
        <v>83</v>
      </c>
      <c r="C67" s="298">
        <v>300</v>
      </c>
      <c r="D67" s="260">
        <f>1.2*338.33</f>
        <v>405.99599999999998</v>
      </c>
      <c r="E67" s="260">
        <f>1.2*30.7</f>
        <v>36.839999999999996</v>
      </c>
      <c r="F67" s="260">
        <f>1.2*5.6144</f>
        <v>6.7372799999999993</v>
      </c>
      <c r="G67" s="260">
        <f>1.2*8.932</f>
        <v>10.718400000000001</v>
      </c>
    </row>
    <row r="68" spans="1:7" x14ac:dyDescent="0.25">
      <c r="B68" s="16" t="s">
        <v>13</v>
      </c>
      <c r="D68" s="324">
        <f>AVERAGE(D17,D27,D42,D52,D66)</f>
        <v>775.26740857142852</v>
      </c>
      <c r="E68" s="324">
        <f>AVERAGE(E17,E27,E42,E52,E66)</f>
        <v>112.87074428571427</v>
      </c>
      <c r="F68" s="324">
        <f>AVERAGE(F17,F27,F42,F52,F66)</f>
        <v>26.140651428571424</v>
      </c>
      <c r="G68" s="324">
        <f>AVERAGE(G17,G27,G42,G52,G66)</f>
        <v>29.492052857142859</v>
      </c>
    </row>
    <row r="69" spans="1:7" x14ac:dyDescent="0.25">
      <c r="A69" s="303" t="s">
        <v>84</v>
      </c>
      <c r="B69" s="304"/>
    </row>
    <row r="70" spans="1:7" x14ac:dyDescent="0.25">
      <c r="A70" s="12" t="s">
        <v>60</v>
      </c>
      <c r="C70" s="11" t="s">
        <v>61</v>
      </c>
      <c r="D70" s="10"/>
      <c r="E70" s="10"/>
      <c r="F70" s="10"/>
      <c r="G70" s="22"/>
    </row>
  </sheetData>
  <pageMargins left="0.7" right="0.7" top="0.75" bottom="0.75" header="0.3" footer="0.3"/>
  <pageSetup paperSize="9" scale="6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D7D9C9C6800C459C338440858678F6" ma:contentTypeVersion="7" ma:contentTypeDescription="Create a new document." ma:contentTypeScope="" ma:versionID="7a585f012742f66fea48238c3d7f7e10">
  <xsd:schema xmlns:xsd="http://www.w3.org/2001/XMLSchema" xmlns:xs="http://www.w3.org/2001/XMLSchema" xmlns:p="http://schemas.microsoft.com/office/2006/metadata/properties" xmlns:ns3="6701a4f5-800b-44fa-bf5f-bc261db538fe" xmlns:ns4="f671aa42-d00e-4959-96d4-a1ad1e0c3285" targetNamespace="http://schemas.microsoft.com/office/2006/metadata/properties" ma:root="true" ma:fieldsID="4c477601361a6e8a4b79b32802a34262" ns3:_="" ns4:_="">
    <xsd:import namespace="6701a4f5-800b-44fa-bf5f-bc261db538fe"/>
    <xsd:import namespace="f671aa42-d00e-4959-96d4-a1ad1e0c328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1a4f5-800b-44fa-bf5f-bc261db538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1aa42-d00e-4959-96d4-a1ad1e0c328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6701a4f5-800b-44fa-bf5f-bc261db538f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0CD06A-F7A4-4BD0-B647-5192BE0855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01a4f5-800b-44fa-bf5f-bc261db538fe"/>
    <ds:schemaRef ds:uri="f671aa42-d00e-4959-96d4-a1ad1e0c32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EEC9C1-A7B3-4CE2-8DEE-D10A6662399B}">
  <ds:schemaRefs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6701a4f5-800b-44fa-bf5f-bc261db538fe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f671aa42-d00e-4959-96d4-a1ad1e0c328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FA7CA1D-E26D-4036-B2A5-E930FE3588C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16</vt:i4>
      </vt:variant>
      <vt:variant>
        <vt:lpstr>Nimega vahemikud</vt:lpstr>
      </vt:variant>
      <vt:variant>
        <vt:i4>15</vt:i4>
      </vt:variant>
    </vt:vector>
  </HeadingPairs>
  <TitlesOfParts>
    <vt:vector size="31" baseType="lpstr">
      <vt:lpstr>Teine 40</vt:lpstr>
      <vt:lpstr>Teine 41</vt:lpstr>
      <vt:lpstr>Teine 42</vt:lpstr>
      <vt:lpstr>Teine 44</vt:lpstr>
      <vt:lpstr>Esimene 40</vt:lpstr>
      <vt:lpstr>Esimene 41</vt:lpstr>
      <vt:lpstr>Esimene 42</vt:lpstr>
      <vt:lpstr>Esimene 44</vt:lpstr>
      <vt:lpstr>Kolmas 40</vt:lpstr>
      <vt:lpstr>Kolmas 41</vt:lpstr>
      <vt:lpstr>Kolmas 42</vt:lpstr>
      <vt:lpstr>Kolmas 44</vt:lpstr>
      <vt:lpstr>Güm 40</vt:lpstr>
      <vt:lpstr>Güm 41</vt:lpstr>
      <vt:lpstr>Güm 42</vt:lpstr>
      <vt:lpstr>Güm 44</vt:lpstr>
      <vt:lpstr>'Esimene 40'!Prindiala</vt:lpstr>
      <vt:lpstr>'Esimene 41'!Prindiala</vt:lpstr>
      <vt:lpstr>'Esimene 42'!Prindiala</vt:lpstr>
      <vt:lpstr>'Esimene 44'!Prindiala</vt:lpstr>
      <vt:lpstr>'Güm 40'!Prindiala</vt:lpstr>
      <vt:lpstr>'Güm 41'!Prindiala</vt:lpstr>
      <vt:lpstr>'Güm 42'!Prindiala</vt:lpstr>
      <vt:lpstr>'Güm 44'!Prindiala</vt:lpstr>
      <vt:lpstr>'Kolmas 41'!Prindiala</vt:lpstr>
      <vt:lpstr>'Kolmas 42'!Prindiala</vt:lpstr>
      <vt:lpstr>'Kolmas 44'!Prindiala</vt:lpstr>
      <vt:lpstr>'Teine 40'!Prindiala</vt:lpstr>
      <vt:lpstr>'Teine 41'!Prindiala</vt:lpstr>
      <vt:lpstr>'Teine 42'!Prindiala</vt:lpstr>
      <vt:lpstr>'Teine 44'!Prindiala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Terviseinfo.ee</dc:title>
  <dc:subject/>
  <dc:creator>admin</dc:creator>
  <cp:keywords/>
  <dc:description/>
  <cp:lastModifiedBy>Gristy Lehtna</cp:lastModifiedBy>
  <cp:revision/>
  <cp:lastPrinted>2023-12-05T09:30:41Z</cp:lastPrinted>
  <dcterms:created xsi:type="dcterms:W3CDTF">2016-09-13T12:12:48Z</dcterms:created>
  <dcterms:modified xsi:type="dcterms:W3CDTF">2023-12-05T11:32:13Z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0x010100A9D7D9C9C6800C459C338440858678F6</vt:lpwstr>
  </property>
</Properties>
</file>